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2810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Лист1" sheetId="6" r:id="rId6"/>
    <sheet name="Полдпрограмма 6" sheetId="7" state="hidden" r:id="rId7"/>
    <sheet name="Подпрограмма 8" sheetId="8" state="hidden" r:id="rId8"/>
  </sheets>
  <definedNames>
    <definedName name="_xlnm.Print_Area" localSheetId="1">'Подпрограмма 2'!$A$1:$M$181</definedName>
    <definedName name="_xlnm.Print_Area" localSheetId="2">'Подпрограмма 3'!$A$1:$M$95</definedName>
  </definedNames>
  <calcPr fullCalcOnLoad="1"/>
</workbook>
</file>

<file path=xl/sharedStrings.xml><?xml version="1.0" encoding="utf-8"?>
<sst xmlns="http://schemas.openxmlformats.org/spreadsheetml/2006/main" count="1074" uniqueCount="217">
  <si>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</si>
  <si>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</si>
  <si>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</si>
  <si>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</si>
  <si>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</si>
  <si>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</si>
  <si>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</si>
  <si>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</si>
  <si>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</si>
  <si>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</si>
  <si>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</si>
  <si>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</si>
  <si>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</si>
  <si>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</si>
  <si>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</si>
  <si>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</si>
  <si>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</si>
  <si>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</si>
  <si>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</si>
  <si>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</si>
  <si>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</si>
  <si>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</si>
  <si>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</si>
  <si>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</si>
  <si>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</si>
  <si>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</si>
  <si>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</si>
  <si>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</si>
  <si>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</si>
  <si>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</si>
  <si>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</si>
  <si>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</si>
  <si>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</si>
  <si>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</si>
  <si>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</si>
  <si>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</si>
  <si>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</si>
  <si>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</si>
  <si>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</si>
  <si>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</si>
  <si>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</si>
  <si>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</si>
  <si>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</si>
  <si>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</si>
  <si>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</si>
  <si>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</si>
  <si>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</si>
  <si>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</si>
  <si>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</si>
  <si>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</si>
  <si>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</si>
  <si>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</si>
  <si>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</si>
  <si>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</si>
  <si>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</si>
  <si>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</si>
  <si>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</si>
  <si>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</si>
  <si>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</si>
  <si>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</si>
  <si>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</si>
  <si>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</si>
  <si>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</si>
  <si>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</si>
  <si>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 xml:space="preserve">Основное мероприятие E2. 
Федеральный проект «Успех каждого ребенка»                             
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</si>
  <si>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</si>
  <si>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</si>
  <si>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</si>
  <si>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</si>
  <si>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</si>
  <si>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</si>
  <si>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</si>
  <si>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</si>
  <si>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</si>
  <si>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</si>
  <si>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</si>
  <si>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</si>
  <si>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</si>
  <si>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</si>
  <si>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</si>
  <si>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</si>
  <si>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</si>
  <si>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</si>
  <si>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</si>
  <si>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</si>
  <si>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</si>
  <si>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</si>
  <si>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</si>
  <si>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</si>
  <si>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</si>
  <si>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</si>
  <si>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</si>
  <si>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</si>
  <si>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</si>
  <si>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</si>
  <si>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</si>
  <si>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</si>
  <si>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</si>
  <si>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</si>
  <si>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</si>
  <si>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</si>
  <si>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</si>
  <si>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</si>
  <si>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</si>
  <si>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</si>
  <si>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</si>
  <si>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</si>
  <si>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</si>
  <si>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</si>
  <si>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</si>
  <si>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</si>
  <si>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</si>
  <si>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</si>
  <si>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</si>
  <si>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</si>
  <si>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</si>
  <si>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</si>
  <si>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</si>
  <si>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</si>
  <si>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</si>
  <si>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</si>
  <si>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</si>
  <si>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</si>
  <si>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</si>
  <si>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</si>
  <si>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</si>
  <si>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</si>
  <si>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</si>
  <si>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</si>
  <si>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</si>
  <si>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</si>
  <si>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</si>
  <si>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</si>
  <si>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</si>
  <si>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</si>
  <si>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</si>
  <si>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</si>
  <si>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</si>
  <si>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</si>
  <si>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</si>
  <si>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</si>
  <si>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</si>
  <si>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</si>
  <si>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</si>
  <si>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</si>
  <si>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</si>
  <si>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</si>
  <si>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</si>
  <si>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</si>
  <si>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</si>
  <si>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</si>
  <si>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</si>
  <si>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</si>
  <si>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</si>
  <si>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</si>
  <si>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</si>
  <si>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</si>
  <si>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</si>
  <si>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</si>
  <si>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</si>
  <si>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</si>
  <si>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</si>
  <si>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</si>
  <si>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</si>
  <si>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</si>
  <si>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Управление образования Муници- пальные образова-тельные учреждения   Управление образования
МКУ "УКС"</t>
  </si>
  <si>
    <t>1.11.</t>
  </si>
  <si>
    <t>Мероприятие 01.11. Проведение капитального ремонта, технического переоснащения и благоустройства территорий учреждений</t>
  </si>
  <si>
    <t>2022-2024</t>
  </si>
  <si>
    <t>МКУ "УКС"  Управление образования</t>
  </si>
  <si>
    <t>Основное мероприятие 08.  Модернизация школьных систем образования в рамках государственной программы Российской Федерации "Развитие образования"</t>
  </si>
  <si>
    <t>Мероприятие 08.02.Оснащение отремонтированных зданий общеобразовательных организаций средствами обучения и воспитания</t>
  </si>
  <si>
    <t xml:space="preserve">Мероприятие 08.01.Проведение работ по капитальному ремонту региональных (муниципальных) общеобразователь-ных организаций </t>
  </si>
  <si>
    <t>Мероприятие 01.04. Мероприятия по проведению капитального ремонта в муниципальных дошкольных образовательных организациях в Московской области</t>
  </si>
  <si>
    <t>Количество отремонтированных дошкольных образовательных организаций- 1 шт. в 2022 году</t>
  </si>
  <si>
    <t>Основное мероприятие 01. Проведение капитального ремонта объектов дошкольного образования, закупка оборудования</t>
  </si>
  <si>
    <t>8.3.</t>
  </si>
  <si>
    <t>Мероприятие 08.03.Мероприятие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</si>
  <si>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Мероприятие 01.04. Укрепление материально- технической базы и проведение текущего ремонта общеобразовательных организаций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</si>
  <si>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</si>
  <si>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</si>
  <si>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1.16.</t>
  </si>
  <si>
    <t xml:space="preserve">Мероприятие 01.16. Финансовое обеспечение государственных гарантий реализации прав на получение общедоступного и 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 муниципальных общеобразовательных организациях в Московской области, обеспечение дополнительного образования детей в муниципальных общеобразовательных организациях в Московской области,  включая расходы на оплату труда, приобретение учебников и учебных пособий, средств обучения, игр, игрушек (за исключением расходов на содержание зданий и оплату коммунальных услуг) </t>
  </si>
  <si>
    <t>1.17.</t>
  </si>
  <si>
    <t>Мероприятие 01.17. 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</si>
  <si>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Мероприятие 03.08. Частичная компенсация стоимости питания отдельным категориям обучающихся в муниципальных общеобразовательных организациях
в Московской области и в частных общеобразовательных организациях
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</si>
  <si>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Мероприятие 05.01.         Расходы на обеспечение деятельности (оказания услуг) муниципальных учреждений- общеобразовательные организации, оказывающие услуги дошкольного, начального общего, основного общего, среднего общего образования</t>
  </si>
  <si>
    <t>3.8.</t>
  </si>
  <si>
    <t>1.51.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</si>
  <si>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области-- 100%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- 0%. в 2024 г. Количество детей в возрасте от 1,5 до 7 лет, направленных и зачисленных в течение соответствующего финансового года в Единой информационной системе "Зачисление в ДОУ" на созданные дополнительные места в организациях по присмотру и уходу за детьми, расположенных в микрорайонах с наибольшей очередностью - 25 единиц в 2022 году.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</si>
  <si>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</si>
  <si>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 xml:space="preserve"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100,8%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- 0%. 2024 г. 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</si>
  <si>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- 0%. 2024 г. 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</si>
  <si>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250 баллов и более по 3 предметам, к общему количеству выпускников текущего года, сдававших ЕГЭ по 3 и более предметам-  10,71%  к 2024 году.</t>
  </si>
  <si>
    <t>Количество объектов, в которых в полном объеме выполнены мероприятия по капитальному ремонту общеобразовательных организаций - 3 единицы в 2022 году.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</si>
  <si>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Федерации- 0,519 тысяча человек.  Доля детей в возрасте от 5 до 18 лет, охваченных дополнительным образованием 86,2% к 2024 году.</t>
  </si>
  <si>
    <t>Доля детей в возрасте от 5 до 18 лет, охваченных дополнительным образованием 86,2% к 2024 году.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</si>
  <si>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программам- 4 единицы к 2024 году.  Количество отремонтированных общеобразовательных организаций- 4шт. к 2024 году. Доля обучающихся во вторую смену - 9,8% к 2024 году.</t>
  </si>
  <si>
    <t xml:space="preserve">Мероприятие 01.51. Мероприятия по проведению капитального ремонта в муниципальных общеобразовательных организациях в Московской области за счет средств местного бюджета </t>
  </si>
  <si>
    <t xml:space="preserve">Управление образования
Муници-пальные общеоб-разова-тельные учреждения
Управление образования
</t>
  </si>
  <si>
    <t xml:space="preserve">Управление образования
Муници-пальные образова– тельные учреждения 
</t>
  </si>
  <si>
    <t xml:space="preserve">Управление образования
Муници-пальные образова-тельные учреждения
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</si>
  <si>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</si>
  <si>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100%..  Доля детей, привлекаемых к участию в творческих мероприятиях сферы культуры- 9,6% в 2020 году.   Доля детей в возрасте от 5 до 18 лет, охваченных дополнительным образованием 86,2% к 2024 году.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- 0%.  2024 г. Доля детей, привлекаемых к участию в творческих мероприятиях, от общего числа детей- 26,6% к 2024 году. </t>
  </si>
  <si>
    <t>4.</t>
  </si>
  <si>
    <t>4.6.</t>
  </si>
  <si>
    <t>Основное мероприятие 04.  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</t>
  </si>
  <si>
    <t>Мероприятие 04.06.  Реализация отдельных мероприятий муниципальных программ в сфере образования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</si>
  <si>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100%..</t>
  </si>
  <si>
    <t>Приложение № 2 к постановлению</t>
  </si>
  <si>
    <t>4.5.</t>
  </si>
  <si>
    <t>Мероприятие 04.05.  Реализация отдельных мероприятий муниципальных программ в сфере образования (на оплату труда педагогов дополнительного образования)</t>
  </si>
  <si>
    <t>МКУ "УКС" Управление образования МКУ "ДЕЗ"</t>
  </si>
  <si>
    <t xml:space="preserve">МКУ"УКС " Управление образования </t>
  </si>
  <si>
    <t>МКУ"УКС " Управление образования МКУ "ДЕЗ"</t>
  </si>
  <si>
    <t xml:space="preserve">Управление образования
</t>
  </si>
  <si>
    <t>от 20.06.2022  №1687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</si>
</sst>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0000"/>
    <numFmt numFmtId="185" formatCode="0.00000"/>
    <numFmt numFmtId="18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4" fontId="4" fillId="35" borderId="10" xfId="43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9" fillId="35" borderId="0" xfId="0" applyFont="1" applyFill="1" applyAlignment="1">
      <alignment horizontal="left"/>
    </xf>
    <xf numFmtId="0" fontId="2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4" fontId="48" fillId="35" borderId="10" xfId="0" applyNumberFormat="1" applyFont="1" applyFill="1" applyBorder="1" applyAlignment="1">
      <alignment horizontal="center" vertical="top" wrapText="1"/>
    </xf>
    <xf numFmtId="175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84" fontId="48" fillId="35" borderId="10" xfId="0" applyNumberFormat="1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16" fontId="48" fillId="0" borderId="11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left"/>
    </xf>
    <xf numFmtId="0" fontId="48" fillId="0" borderId="1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5" borderId="11" xfId="0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16" fontId="48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center" vertical="top" wrapText="1"/>
    </xf>
    <xf numFmtId="172" fontId="4" fillId="35" borderId="12" xfId="43" applyFont="1" applyFill="1" applyBorder="1" applyAlignment="1">
      <alignment horizontal="center" vertical="top" wrapText="1"/>
    </xf>
    <xf numFmtId="172" fontId="4" fillId="35" borderId="13" xfId="43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left" vertical="top" wrapText="1"/>
    </xf>
    <xf numFmtId="172" fontId="4" fillId="35" borderId="12" xfId="43" applyFont="1" applyFill="1" applyBorder="1" applyAlignment="1">
      <alignment horizontal="left" vertical="top" wrapText="1"/>
    </xf>
    <xf numFmtId="172" fontId="4" fillId="35" borderId="13" xfId="43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zoomScaleSheetLayoutView="100" workbookViewId="0" topLeftCell="A1">
      <selection activeCell="J6" sqref="J6:M6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0" customWidth="1"/>
    <col min="9" max="9" width="10.140625" style="50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62"/>
      <c r="B1" s="61"/>
      <c r="C1" s="61"/>
      <c r="D1" s="61"/>
      <c r="E1" s="61"/>
      <c r="F1" s="61"/>
      <c r="G1" s="61"/>
      <c r="H1" s="61"/>
      <c r="I1" s="61"/>
      <c r="J1" s="121" t="s">
        <v>209</v>
      </c>
      <c r="K1" s="122"/>
      <c r="L1" s="122"/>
      <c r="M1" s="122"/>
    </row>
    <row r="2" spans="1:13" ht="15.75" customHeight="1">
      <c r="A2" s="62"/>
      <c r="B2" s="61"/>
      <c r="C2" s="61"/>
      <c r="D2" s="61"/>
      <c r="E2" s="61"/>
      <c r="F2" s="61"/>
      <c r="G2" s="61"/>
      <c r="H2" s="61"/>
      <c r="I2" s="61"/>
      <c r="J2" s="63" t="s">
        <v>89</v>
      </c>
      <c r="K2" s="64"/>
      <c r="L2" s="64"/>
      <c r="M2" s="64"/>
    </row>
    <row r="3" spans="1:13" ht="15" customHeight="1" hidden="1">
      <c r="A3" s="62"/>
      <c r="B3" s="61"/>
      <c r="C3" s="61"/>
      <c r="D3" s="61"/>
      <c r="E3" s="61"/>
      <c r="F3" s="61"/>
      <c r="G3" s="61"/>
      <c r="H3" s="61"/>
      <c r="I3" s="61"/>
      <c r="J3" s="65"/>
      <c r="K3" s="65"/>
      <c r="L3" s="65"/>
      <c r="M3" s="65"/>
    </row>
    <row r="4" spans="1:13" ht="18" customHeight="1" hidden="1">
      <c r="A4" s="62"/>
      <c r="B4" s="61"/>
      <c r="C4" s="61"/>
      <c r="D4" s="61"/>
      <c r="E4" s="61"/>
      <c r="F4" s="61"/>
      <c r="G4" s="61"/>
      <c r="H4" s="61"/>
      <c r="I4" s="61"/>
      <c r="J4" s="63"/>
      <c r="K4" s="63"/>
      <c r="L4" s="63"/>
      <c r="M4" s="63"/>
    </row>
    <row r="5" spans="1:13" ht="13.5" customHeight="1" hidden="1">
      <c r="A5" s="62"/>
      <c r="B5" s="61"/>
      <c r="C5" s="61"/>
      <c r="D5" s="61"/>
      <c r="E5" s="61"/>
      <c r="F5" s="61"/>
      <c r="G5" s="61"/>
      <c r="H5" s="61"/>
      <c r="I5" s="61"/>
      <c r="J5" s="121"/>
      <c r="K5" s="121"/>
      <c r="L5" s="121"/>
      <c r="M5" s="121"/>
    </row>
    <row r="6" spans="1:13" ht="16.5" customHeight="1">
      <c r="A6" s="62"/>
      <c r="B6" s="61"/>
      <c r="C6" s="61"/>
      <c r="D6" s="61"/>
      <c r="E6" s="61"/>
      <c r="F6" s="61"/>
      <c r="G6" s="61"/>
      <c r="H6" s="61"/>
      <c r="I6" s="61"/>
      <c r="J6" s="121" t="s">
        <v>216</v>
      </c>
      <c r="K6" s="129"/>
      <c r="L6" s="129"/>
      <c r="M6" s="129"/>
    </row>
    <row r="7" spans="1:13" ht="15">
      <c r="A7" s="62"/>
      <c r="B7" s="61"/>
      <c r="C7" s="61"/>
      <c r="D7" s="61"/>
      <c r="E7" s="61"/>
      <c r="F7" s="61"/>
      <c r="G7" s="61"/>
      <c r="H7" s="61"/>
      <c r="I7" s="61"/>
      <c r="J7" s="121" t="s">
        <v>162</v>
      </c>
      <c r="K7" s="121"/>
      <c r="L7" s="121"/>
      <c r="M7" s="121"/>
    </row>
    <row r="8" spans="1:13" ht="14.25" customHeight="1">
      <c r="A8" s="62"/>
      <c r="B8" s="61"/>
      <c r="C8" s="61"/>
      <c r="D8" s="61"/>
      <c r="E8" s="61"/>
      <c r="F8" s="61"/>
      <c r="G8" s="61"/>
      <c r="H8" s="61"/>
      <c r="I8" s="61"/>
      <c r="J8" s="63" t="s">
        <v>163</v>
      </c>
      <c r="K8" s="63"/>
      <c r="L8" s="63"/>
      <c r="M8" s="63"/>
    </row>
    <row r="9" spans="1:13" ht="15" hidden="1">
      <c r="A9" s="62"/>
      <c r="B9" s="61"/>
      <c r="C9" s="61"/>
      <c r="D9" s="61"/>
      <c r="E9" s="61"/>
      <c r="F9" s="61"/>
      <c r="G9" s="61"/>
      <c r="H9" s="61"/>
      <c r="I9" s="61"/>
      <c r="J9" s="66"/>
      <c r="K9" s="66"/>
      <c r="L9" s="66"/>
      <c r="M9" s="66"/>
    </row>
    <row r="10" spans="1:13" ht="16.5" customHeight="1">
      <c r="A10" s="62"/>
      <c r="B10" s="61"/>
      <c r="C10" s="61"/>
      <c r="D10" s="61"/>
      <c r="E10" s="61"/>
      <c r="F10" s="61"/>
      <c r="G10" s="61"/>
      <c r="H10" s="61"/>
      <c r="I10" s="61"/>
      <c r="J10" s="121" t="s">
        <v>164</v>
      </c>
      <c r="K10" s="121"/>
      <c r="L10" s="121"/>
      <c r="M10" s="121"/>
    </row>
    <row r="11" spans="1:13" ht="15">
      <c r="A11" s="62"/>
      <c r="B11" s="61"/>
      <c r="C11" s="61"/>
      <c r="D11" s="61"/>
      <c r="E11" s="61"/>
      <c r="F11" s="61"/>
      <c r="G11" s="61"/>
      <c r="H11" s="61"/>
      <c r="I11" s="61"/>
      <c r="J11" s="67"/>
      <c r="K11" s="67"/>
      <c r="L11" s="67"/>
      <c r="M11" s="67"/>
    </row>
    <row r="12" spans="1:13" ht="15.75" customHeight="1">
      <c r="A12" s="135" t="s">
        <v>50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61.5" customHeight="1">
      <c r="A13" s="103" t="s">
        <v>2</v>
      </c>
      <c r="B13" s="103" t="s">
        <v>36</v>
      </c>
      <c r="C13" s="104" t="s">
        <v>39</v>
      </c>
      <c r="D13" s="103" t="s">
        <v>3</v>
      </c>
      <c r="E13" s="104" t="s">
        <v>38</v>
      </c>
      <c r="F13" s="103" t="s">
        <v>4</v>
      </c>
      <c r="G13" s="103" t="s">
        <v>5</v>
      </c>
      <c r="H13" s="103"/>
      <c r="I13" s="103"/>
      <c r="J13" s="103"/>
      <c r="K13" s="103"/>
      <c r="L13" s="103" t="s">
        <v>6</v>
      </c>
      <c r="M13" s="103" t="s">
        <v>37</v>
      </c>
    </row>
    <row r="14" spans="1:13" ht="97.5" customHeight="1">
      <c r="A14" s="103"/>
      <c r="B14" s="103"/>
      <c r="C14" s="105"/>
      <c r="D14" s="103"/>
      <c r="E14" s="105"/>
      <c r="F14" s="103"/>
      <c r="G14" s="55" t="s">
        <v>67</v>
      </c>
      <c r="H14" s="55" t="s">
        <v>68</v>
      </c>
      <c r="I14" s="55" t="s">
        <v>69</v>
      </c>
      <c r="J14" s="55" t="s">
        <v>70</v>
      </c>
      <c r="K14" s="55" t="s">
        <v>71</v>
      </c>
      <c r="L14" s="103"/>
      <c r="M14" s="103"/>
    </row>
    <row r="15" spans="1:13" ht="1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</row>
    <row r="16" spans="1:13" ht="15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ht="24.75" customHeight="1">
      <c r="A17" s="127" t="s">
        <v>24</v>
      </c>
      <c r="B17" s="139" t="s">
        <v>175</v>
      </c>
      <c r="C17" s="57" t="s">
        <v>44</v>
      </c>
      <c r="D17" s="68" t="s">
        <v>7</v>
      </c>
      <c r="E17" s="46">
        <f aca="true" t="shared" si="0" ref="E17:K17">E18+E19+E20+E21</f>
        <v>550</v>
      </c>
      <c r="F17" s="47">
        <f>F18+F19+F20+F21</f>
        <v>111438.43</v>
      </c>
      <c r="G17" s="47">
        <f t="shared" si="0"/>
        <v>467</v>
      </c>
      <c r="H17" s="47">
        <f t="shared" si="0"/>
        <v>9261</v>
      </c>
      <c r="I17" s="47">
        <f t="shared" si="0"/>
        <v>101710.43</v>
      </c>
      <c r="J17" s="47">
        <f t="shared" si="0"/>
        <v>0</v>
      </c>
      <c r="K17" s="47">
        <f t="shared" si="0"/>
        <v>0</v>
      </c>
      <c r="L17" s="93" t="s">
        <v>165</v>
      </c>
      <c r="M17" s="125" t="s">
        <v>174</v>
      </c>
    </row>
    <row r="18" spans="1:13" ht="40.5" customHeight="1">
      <c r="A18" s="128"/>
      <c r="B18" s="114"/>
      <c r="C18" s="57" t="s">
        <v>44</v>
      </c>
      <c r="D18" s="68" t="s">
        <v>9</v>
      </c>
      <c r="E18" s="46">
        <f>E23+E33</f>
        <v>0</v>
      </c>
      <c r="F18" s="47">
        <f>G18+H18+I18+J18+K18</f>
        <v>0</v>
      </c>
      <c r="G18" s="47">
        <f>G23+G33+G28</f>
        <v>0</v>
      </c>
      <c r="H18" s="47">
        <f>H23+H33+H28</f>
        <v>0</v>
      </c>
      <c r="I18" s="47">
        <f>I23+I33+I28</f>
        <v>0</v>
      </c>
      <c r="J18" s="47">
        <f>J23+J33+J28</f>
        <v>0</v>
      </c>
      <c r="K18" s="47">
        <f>K23+K33+K28</f>
        <v>0</v>
      </c>
      <c r="L18" s="93"/>
      <c r="M18" s="126"/>
    </row>
    <row r="19" spans="1:13" ht="35.25" customHeight="1">
      <c r="A19" s="128"/>
      <c r="B19" s="114"/>
      <c r="C19" s="57" t="s">
        <v>44</v>
      </c>
      <c r="D19" s="68" t="s">
        <v>10</v>
      </c>
      <c r="E19" s="46">
        <f>E24+E34</f>
        <v>500</v>
      </c>
      <c r="F19" s="47">
        <f>G19+H19+I19+J19+K19</f>
        <v>52970</v>
      </c>
      <c r="G19" s="47">
        <f aca="true" t="shared" si="1" ref="G19:K21">G24+G34+G29</f>
        <v>0</v>
      </c>
      <c r="H19" s="47">
        <f t="shared" si="1"/>
        <v>0</v>
      </c>
      <c r="I19" s="47">
        <f t="shared" si="1"/>
        <v>52970</v>
      </c>
      <c r="J19" s="47">
        <f t="shared" si="1"/>
        <v>0</v>
      </c>
      <c r="K19" s="47">
        <f t="shared" si="1"/>
        <v>0</v>
      </c>
      <c r="L19" s="93"/>
      <c r="M19" s="126"/>
    </row>
    <row r="20" spans="1:13" ht="63" customHeight="1">
      <c r="A20" s="128"/>
      <c r="B20" s="114"/>
      <c r="C20" s="57" t="s">
        <v>44</v>
      </c>
      <c r="D20" s="68" t="s">
        <v>11</v>
      </c>
      <c r="E20" s="46">
        <f>E25+E35</f>
        <v>50</v>
      </c>
      <c r="F20" s="47">
        <f>G20+H20+I20+J20+K20</f>
        <v>58468.43</v>
      </c>
      <c r="G20" s="47">
        <f t="shared" si="1"/>
        <v>467</v>
      </c>
      <c r="H20" s="47">
        <f t="shared" si="1"/>
        <v>9261</v>
      </c>
      <c r="I20" s="47">
        <f>I25+I35+I30</f>
        <v>48740.43</v>
      </c>
      <c r="J20" s="47">
        <f t="shared" si="1"/>
        <v>0</v>
      </c>
      <c r="K20" s="47">
        <f t="shared" si="1"/>
        <v>0</v>
      </c>
      <c r="L20" s="93"/>
      <c r="M20" s="126"/>
    </row>
    <row r="21" spans="1:13" ht="30" customHeight="1">
      <c r="A21" s="128"/>
      <c r="B21" s="114"/>
      <c r="C21" s="57" t="s">
        <v>44</v>
      </c>
      <c r="D21" s="69" t="s">
        <v>34</v>
      </c>
      <c r="E21" s="46">
        <f>E26+E36</f>
        <v>0</v>
      </c>
      <c r="F21" s="47">
        <f>G21+H21+I21+J21+K21</f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93"/>
      <c r="M21" s="126"/>
    </row>
    <row r="22" spans="1:13" ht="21" customHeight="1">
      <c r="A22" s="134" t="s">
        <v>84</v>
      </c>
      <c r="B22" s="69" t="s">
        <v>119</v>
      </c>
      <c r="C22" s="57" t="s">
        <v>44</v>
      </c>
      <c r="D22" s="57" t="s">
        <v>7</v>
      </c>
      <c r="E22" s="46">
        <f aca="true" t="shared" si="2" ref="E22:K22">E23+E24+E25+E26</f>
        <v>550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93" t="s">
        <v>15</v>
      </c>
      <c r="M22" s="93"/>
    </row>
    <row r="23" spans="1:13" ht="37.5" customHeight="1">
      <c r="A23" s="134"/>
      <c r="B23" s="114" t="s">
        <v>82</v>
      </c>
      <c r="C23" s="57" t="s">
        <v>44</v>
      </c>
      <c r="D23" s="57" t="s">
        <v>9</v>
      </c>
      <c r="E23" s="46">
        <v>0</v>
      </c>
      <c r="F23" s="47">
        <f>G23+H23+I23+J23+K23</f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93"/>
      <c r="M23" s="93"/>
    </row>
    <row r="24" spans="1:13" ht="48">
      <c r="A24" s="134"/>
      <c r="B24" s="114"/>
      <c r="C24" s="57" t="s">
        <v>44</v>
      </c>
      <c r="D24" s="57" t="s">
        <v>10</v>
      </c>
      <c r="E24" s="46">
        <v>500</v>
      </c>
      <c r="F24" s="47">
        <f>G24+H24+I24+J24+K24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93"/>
      <c r="M24" s="93"/>
    </row>
    <row r="25" spans="1:13" ht="60">
      <c r="A25" s="134"/>
      <c r="B25" s="114"/>
      <c r="C25" s="57" t="s">
        <v>44</v>
      </c>
      <c r="D25" s="57" t="s">
        <v>11</v>
      </c>
      <c r="E25" s="46">
        <v>50</v>
      </c>
      <c r="F25" s="47">
        <f>G25+H25+I25+J25+K25</f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93"/>
      <c r="M25" s="93"/>
    </row>
    <row r="26" spans="1:13" ht="72" customHeight="1">
      <c r="A26" s="134"/>
      <c r="B26" s="115"/>
      <c r="C26" s="57" t="s">
        <v>44</v>
      </c>
      <c r="D26" s="57" t="s">
        <v>34</v>
      </c>
      <c r="E26" s="46">
        <v>0</v>
      </c>
      <c r="F26" s="47">
        <f>G26+H26+I26+J26+K26</f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93"/>
      <c r="M26" s="93"/>
    </row>
    <row r="27" spans="1:13" ht="26.25" customHeight="1">
      <c r="A27" s="97" t="s">
        <v>88</v>
      </c>
      <c r="B27" s="86" t="s">
        <v>173</v>
      </c>
      <c r="C27" s="17" t="s">
        <v>168</v>
      </c>
      <c r="D27" s="10" t="s">
        <v>7</v>
      </c>
      <c r="E27" s="3">
        <f>E28+E29+E30+E31</f>
        <v>0</v>
      </c>
      <c r="F27" s="3">
        <f aca="true" t="shared" si="3" ref="F27:K27">F28+F29+F30+F31</f>
        <v>101635</v>
      </c>
      <c r="G27" s="3">
        <f t="shared" si="3"/>
        <v>0</v>
      </c>
      <c r="H27" s="3">
        <f t="shared" si="3"/>
        <v>0</v>
      </c>
      <c r="I27" s="3">
        <f t="shared" si="3"/>
        <v>101635</v>
      </c>
      <c r="J27" s="3">
        <f t="shared" si="3"/>
        <v>0</v>
      </c>
      <c r="K27" s="3">
        <f t="shared" si="3"/>
        <v>0</v>
      </c>
      <c r="L27" s="93" t="s">
        <v>165</v>
      </c>
      <c r="M27" s="83"/>
    </row>
    <row r="28" spans="1:13" ht="37.5" customHeight="1">
      <c r="A28" s="98"/>
      <c r="B28" s="84"/>
      <c r="C28" s="17" t="s">
        <v>168</v>
      </c>
      <c r="D28" s="10" t="s">
        <v>9</v>
      </c>
      <c r="E28" s="3">
        <v>0</v>
      </c>
      <c r="F28" s="18">
        <f>G28+H28+I28+J28+K28</f>
        <v>0</v>
      </c>
      <c r="G28" s="18">
        <f aca="true" t="shared" si="4" ref="G28:K31">H28+I28+J28+K28+L28</f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93"/>
      <c r="M28" s="84"/>
    </row>
    <row r="29" spans="1:13" ht="51.75" customHeight="1">
      <c r="A29" s="98"/>
      <c r="B29" s="84"/>
      <c r="C29" s="17" t="s">
        <v>168</v>
      </c>
      <c r="D29" s="10" t="s">
        <v>10</v>
      </c>
      <c r="E29" s="3">
        <v>0</v>
      </c>
      <c r="F29" s="18">
        <f>G29+H29+I29+J29+K29</f>
        <v>52970</v>
      </c>
      <c r="G29" s="18">
        <v>0</v>
      </c>
      <c r="H29" s="18">
        <v>0</v>
      </c>
      <c r="I29" s="18">
        <v>52970</v>
      </c>
      <c r="J29" s="18">
        <f t="shared" si="4"/>
        <v>0</v>
      </c>
      <c r="K29" s="18">
        <f t="shared" si="4"/>
        <v>0</v>
      </c>
      <c r="L29" s="93"/>
      <c r="M29" s="84"/>
    </row>
    <row r="30" spans="1:13" ht="62.25" customHeight="1">
      <c r="A30" s="98"/>
      <c r="B30" s="84"/>
      <c r="C30" s="17" t="s">
        <v>168</v>
      </c>
      <c r="D30" s="10" t="s">
        <v>11</v>
      </c>
      <c r="E30" s="3">
        <v>0</v>
      </c>
      <c r="F30" s="18">
        <f>G30+H30+I30+J30+K30</f>
        <v>48665</v>
      </c>
      <c r="G30" s="18">
        <v>0</v>
      </c>
      <c r="H30" s="18">
        <v>0</v>
      </c>
      <c r="I30" s="18">
        <f>29665+1740.31-1740.31+19000</f>
        <v>48665</v>
      </c>
      <c r="J30" s="18">
        <f t="shared" si="4"/>
        <v>0</v>
      </c>
      <c r="K30" s="18">
        <f t="shared" si="4"/>
        <v>0</v>
      </c>
      <c r="L30" s="93"/>
      <c r="M30" s="84"/>
    </row>
    <row r="31" spans="1:13" ht="26.25" customHeight="1">
      <c r="A31" s="99"/>
      <c r="B31" s="85"/>
      <c r="C31" s="17" t="s">
        <v>168</v>
      </c>
      <c r="D31" s="17" t="s">
        <v>34</v>
      </c>
      <c r="E31" s="3">
        <v>0</v>
      </c>
      <c r="F31" s="18">
        <f>G31+H31+I31+J31+K31</f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93"/>
      <c r="M31" s="85"/>
    </row>
    <row r="32" spans="1:13" ht="24" customHeight="1">
      <c r="A32" s="133" t="s">
        <v>152</v>
      </c>
      <c r="B32" s="11" t="s">
        <v>154</v>
      </c>
      <c r="C32" s="17" t="s">
        <v>44</v>
      </c>
      <c r="D32" s="10" t="s">
        <v>7</v>
      </c>
      <c r="E32" s="13">
        <f aca="true" t="shared" si="5" ref="E32:K32">E33+E34+E35+E36</f>
        <v>0</v>
      </c>
      <c r="F32" s="18">
        <f t="shared" si="5"/>
        <v>9803.43</v>
      </c>
      <c r="G32" s="15">
        <f t="shared" si="5"/>
        <v>467</v>
      </c>
      <c r="H32" s="18">
        <f t="shared" si="5"/>
        <v>9261</v>
      </c>
      <c r="I32" s="47">
        <f t="shared" si="5"/>
        <v>75.43</v>
      </c>
      <c r="J32" s="47">
        <f t="shared" si="5"/>
        <v>0</v>
      </c>
      <c r="K32" s="47">
        <f t="shared" si="5"/>
        <v>0</v>
      </c>
      <c r="L32" s="82" t="s">
        <v>165</v>
      </c>
      <c r="M32" s="82"/>
    </row>
    <row r="33" spans="1:13" ht="35.25" customHeight="1">
      <c r="A33" s="133"/>
      <c r="B33" s="107" t="s">
        <v>83</v>
      </c>
      <c r="C33" s="17" t="s">
        <v>44</v>
      </c>
      <c r="D33" s="10" t="s">
        <v>9</v>
      </c>
      <c r="E33" s="3">
        <v>0</v>
      </c>
      <c r="F33" s="18">
        <f>G33+H33+I33+J33+K33</f>
        <v>0</v>
      </c>
      <c r="G33" s="15">
        <v>0</v>
      </c>
      <c r="H33" s="18">
        <v>0</v>
      </c>
      <c r="I33" s="47">
        <v>0</v>
      </c>
      <c r="J33" s="47">
        <v>0</v>
      </c>
      <c r="K33" s="47">
        <v>0</v>
      </c>
      <c r="L33" s="82"/>
      <c r="M33" s="82"/>
    </row>
    <row r="34" spans="1:13" ht="47.25" customHeight="1">
      <c r="A34" s="133"/>
      <c r="B34" s="107"/>
      <c r="C34" s="17" t="s">
        <v>44</v>
      </c>
      <c r="D34" s="10" t="s">
        <v>10</v>
      </c>
      <c r="E34" s="3">
        <v>0</v>
      </c>
      <c r="F34" s="18">
        <f>G34+H34+I34+J34+K34</f>
        <v>0</v>
      </c>
      <c r="G34" s="15">
        <v>0</v>
      </c>
      <c r="H34" s="18">
        <v>0</v>
      </c>
      <c r="I34" s="47">
        <v>0</v>
      </c>
      <c r="J34" s="47">
        <v>0</v>
      </c>
      <c r="K34" s="47">
        <v>0</v>
      </c>
      <c r="L34" s="82"/>
      <c r="M34" s="82"/>
    </row>
    <row r="35" spans="1:13" ht="60.75" customHeight="1">
      <c r="A35" s="133"/>
      <c r="B35" s="107"/>
      <c r="C35" s="17" t="s">
        <v>44</v>
      </c>
      <c r="D35" s="10" t="s">
        <v>11</v>
      </c>
      <c r="E35" s="13">
        <v>0</v>
      </c>
      <c r="F35" s="18">
        <f>G35+H35+I35+J35+K35</f>
        <v>9803.43</v>
      </c>
      <c r="G35" s="15">
        <f>550-83</f>
        <v>467</v>
      </c>
      <c r="H35" s="18">
        <f>2500+6761</f>
        <v>9261</v>
      </c>
      <c r="I35" s="47">
        <v>75.43</v>
      </c>
      <c r="J35" s="47">
        <v>0</v>
      </c>
      <c r="K35" s="47">
        <v>0</v>
      </c>
      <c r="L35" s="82"/>
      <c r="M35" s="82"/>
    </row>
    <row r="36" spans="1:13" ht="25.5" customHeight="1">
      <c r="A36" s="133"/>
      <c r="B36" s="108"/>
      <c r="C36" s="17" t="s">
        <v>44</v>
      </c>
      <c r="D36" s="10" t="s">
        <v>34</v>
      </c>
      <c r="E36" s="3">
        <v>0</v>
      </c>
      <c r="F36" s="18">
        <f>G36+H36+I36+J36+K36</f>
        <v>0</v>
      </c>
      <c r="G36" s="15">
        <v>0</v>
      </c>
      <c r="H36" s="18">
        <v>0</v>
      </c>
      <c r="I36" s="47">
        <v>0</v>
      </c>
      <c r="J36" s="47">
        <v>0</v>
      </c>
      <c r="K36" s="47">
        <v>0</v>
      </c>
      <c r="L36" s="82"/>
      <c r="M36" s="82"/>
    </row>
    <row r="37" spans="1:13" ht="15.75" customHeight="1">
      <c r="A37" s="97" t="s">
        <v>26</v>
      </c>
      <c r="B37" s="86" t="s">
        <v>107</v>
      </c>
      <c r="C37" s="17" t="s">
        <v>44</v>
      </c>
      <c r="D37" s="2" t="s">
        <v>7</v>
      </c>
      <c r="E37" s="13">
        <f>E38+E39+E40+E41</f>
        <v>1571598.2</v>
      </c>
      <c r="F37" s="18">
        <f aca="true" t="shared" si="6" ref="F37:K37">F38+F39+F40+F41</f>
        <v>2873186.3</v>
      </c>
      <c r="G37" s="15">
        <f t="shared" si="6"/>
        <v>1639634.04</v>
      </c>
      <c r="H37" s="18">
        <f t="shared" si="6"/>
        <v>1030506.26</v>
      </c>
      <c r="I37" s="47">
        <f t="shared" si="6"/>
        <v>68940</v>
      </c>
      <c r="J37" s="47">
        <f t="shared" si="6"/>
        <v>67053</v>
      </c>
      <c r="K37" s="47">
        <f t="shared" si="6"/>
        <v>67053</v>
      </c>
      <c r="L37" s="82" t="s">
        <v>14</v>
      </c>
      <c r="M37" s="86" t="s">
        <v>189</v>
      </c>
    </row>
    <row r="38" spans="1:13" ht="39" customHeight="1">
      <c r="A38" s="118"/>
      <c r="B38" s="112"/>
      <c r="C38" s="17" t="s">
        <v>44</v>
      </c>
      <c r="D38" s="2" t="s">
        <v>9</v>
      </c>
      <c r="E38" s="3">
        <f aca="true" t="shared" si="7" ref="E38:K38">E48+E53+E58+E63+E68+E43+E73</f>
        <v>0</v>
      </c>
      <c r="F38" s="3">
        <f>F48+F53+F58+F63+F68+F43+F73</f>
        <v>0</v>
      </c>
      <c r="G38" s="3">
        <f t="shared" si="7"/>
        <v>0</v>
      </c>
      <c r="H38" s="3">
        <f t="shared" si="7"/>
        <v>0</v>
      </c>
      <c r="I38" s="46">
        <f t="shared" si="7"/>
        <v>0</v>
      </c>
      <c r="J38" s="46">
        <f t="shared" si="7"/>
        <v>0</v>
      </c>
      <c r="K38" s="46">
        <f t="shared" si="7"/>
        <v>0</v>
      </c>
      <c r="L38" s="82"/>
      <c r="M38" s="107"/>
    </row>
    <row r="39" spans="1:13" ht="48">
      <c r="A39" s="118"/>
      <c r="B39" s="112"/>
      <c r="C39" s="17" t="s">
        <v>44</v>
      </c>
      <c r="D39" s="2" t="s">
        <v>10</v>
      </c>
      <c r="E39" s="3">
        <f aca="true" t="shared" si="8" ref="E39:K41">E49+E54+E59+E64+E69+E44+E74</f>
        <v>974333</v>
      </c>
      <c r="F39" s="3">
        <f>F49+F54+F59+F64+F69+F44+F74</f>
        <v>1966516</v>
      </c>
      <c r="G39" s="3">
        <f t="shared" si="8"/>
        <v>1084163</v>
      </c>
      <c r="H39" s="3">
        <f t="shared" si="8"/>
        <v>682553</v>
      </c>
      <c r="I39" s="46">
        <f t="shared" si="8"/>
        <v>68126</v>
      </c>
      <c r="J39" s="46">
        <f t="shared" si="8"/>
        <v>65837</v>
      </c>
      <c r="K39" s="46">
        <f t="shared" si="8"/>
        <v>65837</v>
      </c>
      <c r="L39" s="82"/>
      <c r="M39" s="107"/>
    </row>
    <row r="40" spans="1:13" ht="51" customHeight="1">
      <c r="A40" s="118"/>
      <c r="B40" s="112"/>
      <c r="C40" s="17" t="s">
        <v>44</v>
      </c>
      <c r="D40" s="2" t="s">
        <v>11</v>
      </c>
      <c r="E40" s="3">
        <f t="shared" si="8"/>
        <v>435903.5</v>
      </c>
      <c r="F40" s="3">
        <f>F50+F55+F60+F65+F70+F45+F75</f>
        <v>597470.2999999999</v>
      </c>
      <c r="G40" s="3">
        <f t="shared" si="8"/>
        <v>380371.04</v>
      </c>
      <c r="H40" s="3">
        <f>H50+H55+H60+H65+H70+H45+H75</f>
        <v>213853.26000000004</v>
      </c>
      <c r="I40" s="47">
        <f>I50+I55+I60+I65+I70+I45+I75</f>
        <v>814</v>
      </c>
      <c r="J40" s="47">
        <f>J50+J55+J60+J65+J70+J45+J75</f>
        <v>1216</v>
      </c>
      <c r="K40" s="47">
        <f>K50+K55+K60+K65+K70+K45+K75</f>
        <v>1216</v>
      </c>
      <c r="L40" s="82"/>
      <c r="M40" s="107"/>
    </row>
    <row r="41" spans="1:13" ht="194.25" customHeight="1">
      <c r="A41" s="119"/>
      <c r="B41" s="113"/>
      <c r="C41" s="17" t="s">
        <v>44</v>
      </c>
      <c r="D41" s="17" t="s">
        <v>34</v>
      </c>
      <c r="E41" s="3">
        <f t="shared" si="8"/>
        <v>161361.7</v>
      </c>
      <c r="F41" s="3">
        <f t="shared" si="8"/>
        <v>309200</v>
      </c>
      <c r="G41" s="3">
        <f t="shared" si="8"/>
        <v>175100</v>
      </c>
      <c r="H41" s="3">
        <f>H51+H56+H61+H66+H71+H46+H76</f>
        <v>134100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82"/>
      <c r="M41" s="108"/>
    </row>
    <row r="42" spans="1:13" ht="25.5" customHeight="1">
      <c r="A42" s="138" t="s">
        <v>159</v>
      </c>
      <c r="B42" s="86" t="s">
        <v>160</v>
      </c>
      <c r="C42" s="17" t="s">
        <v>44</v>
      </c>
      <c r="D42" s="2" t="s">
        <v>7</v>
      </c>
      <c r="E42" s="51">
        <f>E43+E44+E45+E46</f>
        <v>0</v>
      </c>
      <c r="F42" s="51">
        <f aca="true" t="shared" si="9" ref="F42:K42">F43+F44+F45+F46</f>
        <v>3377.58</v>
      </c>
      <c r="G42" s="51">
        <f t="shared" si="9"/>
        <v>0</v>
      </c>
      <c r="H42" s="51">
        <f t="shared" si="9"/>
        <v>3377.58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82" t="s">
        <v>14</v>
      </c>
      <c r="M42" s="86"/>
    </row>
    <row r="43" spans="1:13" ht="39" customHeight="1">
      <c r="A43" s="116"/>
      <c r="B43" s="80"/>
      <c r="C43" s="17" t="s">
        <v>44</v>
      </c>
      <c r="D43" s="2" t="s">
        <v>9</v>
      </c>
      <c r="E43" s="52">
        <f>F43+G43+H43+I43+J43+K43</f>
        <v>0</v>
      </c>
      <c r="F43" s="51">
        <f>G43+H43+I43+J43+K43</f>
        <v>0</v>
      </c>
      <c r="G43" s="53">
        <v>0</v>
      </c>
      <c r="H43" s="53">
        <v>0</v>
      </c>
      <c r="I43" s="54">
        <v>0</v>
      </c>
      <c r="J43" s="54">
        <v>0</v>
      </c>
      <c r="K43" s="54">
        <v>0</v>
      </c>
      <c r="L43" s="82"/>
      <c r="M43" s="84"/>
    </row>
    <row r="44" spans="1:13" ht="49.5" customHeight="1">
      <c r="A44" s="116"/>
      <c r="B44" s="80"/>
      <c r="C44" s="17" t="s">
        <v>44</v>
      </c>
      <c r="D44" s="2" t="s">
        <v>10</v>
      </c>
      <c r="E44" s="52">
        <f>F44+G44+H44+I44+J44+K44</f>
        <v>0</v>
      </c>
      <c r="F44" s="51">
        <f>G44+H44+I44+J44+K44</f>
        <v>0</v>
      </c>
      <c r="G44" s="53">
        <v>0</v>
      </c>
      <c r="H44" s="53">
        <v>0</v>
      </c>
      <c r="I44" s="54">
        <v>0</v>
      </c>
      <c r="J44" s="54">
        <v>0</v>
      </c>
      <c r="K44" s="54">
        <v>0</v>
      </c>
      <c r="L44" s="82"/>
      <c r="M44" s="84"/>
    </row>
    <row r="45" spans="1:13" ht="63" customHeight="1">
      <c r="A45" s="116"/>
      <c r="B45" s="80"/>
      <c r="C45" s="17" t="s">
        <v>44</v>
      </c>
      <c r="D45" s="2" t="s">
        <v>11</v>
      </c>
      <c r="E45" s="52">
        <v>0</v>
      </c>
      <c r="F45" s="51">
        <f>G45+H45+I45+J45+K45</f>
        <v>3377.58</v>
      </c>
      <c r="G45" s="53">
        <v>0</v>
      </c>
      <c r="H45" s="54">
        <f>5200-1638.23-184.19</f>
        <v>3377.58</v>
      </c>
      <c r="I45" s="54">
        <v>0</v>
      </c>
      <c r="J45" s="53">
        <v>0</v>
      </c>
      <c r="K45" s="53">
        <v>0</v>
      </c>
      <c r="L45" s="82"/>
      <c r="M45" s="84"/>
    </row>
    <row r="46" spans="1:13" ht="31.5" customHeight="1">
      <c r="A46" s="117"/>
      <c r="B46" s="81"/>
      <c r="C46" s="17" t="s">
        <v>44</v>
      </c>
      <c r="D46" s="17" t="s">
        <v>34</v>
      </c>
      <c r="E46" s="52">
        <f>F46+G46+H46+I46+J46+K46</f>
        <v>0</v>
      </c>
      <c r="F46" s="51">
        <f>G46+H46+I46+J46+K46</f>
        <v>0</v>
      </c>
      <c r="G46" s="53">
        <v>0</v>
      </c>
      <c r="H46" s="54">
        <v>0</v>
      </c>
      <c r="I46" s="54">
        <v>0</v>
      </c>
      <c r="J46" s="53">
        <v>0</v>
      </c>
      <c r="K46" s="53">
        <v>0</v>
      </c>
      <c r="L46" s="82"/>
      <c r="M46" s="85"/>
    </row>
    <row r="47" spans="1:13" ht="24.75" customHeight="1">
      <c r="A47" s="97" t="s">
        <v>85</v>
      </c>
      <c r="B47" s="86" t="s">
        <v>120</v>
      </c>
      <c r="C47" s="17" t="s">
        <v>44</v>
      </c>
      <c r="D47" s="2" t="s">
        <v>7</v>
      </c>
      <c r="E47" s="3">
        <f>E48+E49+E50+E51</f>
        <v>899595</v>
      </c>
      <c r="F47" s="3">
        <f aca="true" t="shared" si="10" ref="F47:K47">F48+F49+F50+F51</f>
        <v>1677561.24</v>
      </c>
      <c r="G47" s="3">
        <f t="shared" si="10"/>
        <v>1041328</v>
      </c>
      <c r="H47" s="46">
        <f t="shared" si="10"/>
        <v>636233.24</v>
      </c>
      <c r="I47" s="46">
        <f t="shared" si="10"/>
        <v>0</v>
      </c>
      <c r="J47" s="3">
        <f t="shared" si="10"/>
        <v>0</v>
      </c>
      <c r="K47" s="3">
        <f t="shared" si="10"/>
        <v>0</v>
      </c>
      <c r="L47" s="82" t="s">
        <v>14</v>
      </c>
      <c r="M47" s="83"/>
    </row>
    <row r="48" spans="1:13" ht="40.5" customHeight="1">
      <c r="A48" s="98"/>
      <c r="B48" s="84"/>
      <c r="C48" s="17" t="s">
        <v>44</v>
      </c>
      <c r="D48" s="2" t="s">
        <v>9</v>
      </c>
      <c r="E48" s="3">
        <v>0</v>
      </c>
      <c r="F48" s="18">
        <f>G48+H48+I48+J48+K48</f>
        <v>0</v>
      </c>
      <c r="G48" s="9">
        <v>0</v>
      </c>
      <c r="H48" s="47">
        <v>0</v>
      </c>
      <c r="I48" s="47">
        <v>0</v>
      </c>
      <c r="J48" s="15">
        <v>0</v>
      </c>
      <c r="K48" s="9">
        <v>0</v>
      </c>
      <c r="L48" s="82"/>
      <c r="M48" s="84"/>
    </row>
    <row r="49" spans="1:13" ht="52.5" customHeight="1">
      <c r="A49" s="98"/>
      <c r="B49" s="84"/>
      <c r="C49" s="17" t="s">
        <v>44</v>
      </c>
      <c r="D49" s="2" t="s">
        <v>10</v>
      </c>
      <c r="E49" s="3">
        <v>899595</v>
      </c>
      <c r="F49" s="18">
        <f>G49+H49+I49+J49+K49</f>
        <v>1648942</v>
      </c>
      <c r="G49" s="18">
        <f>1026623+1100</f>
        <v>1027723</v>
      </c>
      <c r="H49" s="47">
        <f>979893+17317-89925-251959-34107</f>
        <v>621219</v>
      </c>
      <c r="I49" s="47">
        <f>997210-997210</f>
        <v>0</v>
      </c>
      <c r="J49" s="18">
        <v>0</v>
      </c>
      <c r="K49" s="18">
        <v>0</v>
      </c>
      <c r="L49" s="82"/>
      <c r="M49" s="84"/>
    </row>
    <row r="50" spans="1:13" ht="61.5" customHeight="1">
      <c r="A50" s="98"/>
      <c r="B50" s="84"/>
      <c r="C50" s="17" t="s">
        <v>44</v>
      </c>
      <c r="D50" s="2" t="s">
        <v>11</v>
      </c>
      <c r="E50" s="3">
        <v>0</v>
      </c>
      <c r="F50" s="18">
        <f>G50+H50+I50+J50+K50</f>
        <v>619.24</v>
      </c>
      <c r="G50" s="18">
        <v>605</v>
      </c>
      <c r="H50" s="18">
        <f>0+0.24+14</f>
        <v>14.24</v>
      </c>
      <c r="I50" s="47">
        <v>0</v>
      </c>
      <c r="J50" s="18">
        <v>0</v>
      </c>
      <c r="K50" s="18">
        <v>0</v>
      </c>
      <c r="L50" s="82"/>
      <c r="M50" s="84"/>
    </row>
    <row r="51" spans="1:13" ht="192.75" customHeight="1">
      <c r="A51" s="99"/>
      <c r="B51" s="85"/>
      <c r="C51" s="17" t="s">
        <v>44</v>
      </c>
      <c r="D51" s="17" t="s">
        <v>34</v>
      </c>
      <c r="E51" s="9">
        <v>0</v>
      </c>
      <c r="F51" s="18">
        <f>G51+H51+I51+J51+K51</f>
        <v>28000</v>
      </c>
      <c r="G51" s="9">
        <v>13000</v>
      </c>
      <c r="H51" s="9">
        <f>15000</f>
        <v>15000</v>
      </c>
      <c r="I51" s="47">
        <v>0</v>
      </c>
      <c r="J51" s="9">
        <v>0</v>
      </c>
      <c r="K51" s="9">
        <v>0</v>
      </c>
      <c r="L51" s="82"/>
      <c r="M51" s="85"/>
    </row>
    <row r="52" spans="1:13" ht="24.75" customHeight="1">
      <c r="A52" s="97" t="s">
        <v>27</v>
      </c>
      <c r="B52" s="86" t="s">
        <v>121</v>
      </c>
      <c r="C52" s="17" t="s">
        <v>44</v>
      </c>
      <c r="D52" s="2" t="s">
        <v>7</v>
      </c>
      <c r="E52" s="3">
        <f>E53+E54+E55+E56</f>
        <v>6926</v>
      </c>
      <c r="F52" s="3">
        <f aca="true" t="shared" si="11" ref="F52:K52">F53+F54+F55+F56</f>
        <v>11150</v>
      </c>
      <c r="G52" s="3">
        <f t="shared" si="11"/>
        <v>5974</v>
      </c>
      <c r="H52" s="3">
        <f t="shared" si="11"/>
        <v>5176</v>
      </c>
      <c r="I52" s="46">
        <f t="shared" si="11"/>
        <v>0</v>
      </c>
      <c r="J52" s="3">
        <f t="shared" si="11"/>
        <v>0</v>
      </c>
      <c r="K52" s="3">
        <f t="shared" si="11"/>
        <v>0</v>
      </c>
      <c r="L52" s="82" t="s">
        <v>14</v>
      </c>
      <c r="M52" s="83"/>
    </row>
    <row r="53" spans="1:13" ht="37.5" customHeight="1">
      <c r="A53" s="98"/>
      <c r="B53" s="84"/>
      <c r="C53" s="17" t="s">
        <v>44</v>
      </c>
      <c r="D53" s="2" t="s">
        <v>9</v>
      </c>
      <c r="E53" s="3">
        <v>0</v>
      </c>
      <c r="F53" s="18">
        <f>G53+H53+I53+J53+K53</f>
        <v>0</v>
      </c>
      <c r="G53" s="9">
        <v>0</v>
      </c>
      <c r="H53" s="18">
        <v>0</v>
      </c>
      <c r="I53" s="47">
        <v>0</v>
      </c>
      <c r="J53" s="15">
        <v>0</v>
      </c>
      <c r="K53" s="9">
        <v>0</v>
      </c>
      <c r="L53" s="82"/>
      <c r="M53" s="84"/>
    </row>
    <row r="54" spans="1:13" ht="50.25" customHeight="1">
      <c r="A54" s="98"/>
      <c r="B54" s="84"/>
      <c r="C54" s="17" t="s">
        <v>44</v>
      </c>
      <c r="D54" s="2" t="s">
        <v>10</v>
      </c>
      <c r="E54" s="3">
        <v>6926</v>
      </c>
      <c r="F54" s="18">
        <f>G54+H54+I54+J54+K54</f>
        <v>11150</v>
      </c>
      <c r="G54" s="18">
        <f>5300+674</f>
        <v>5974</v>
      </c>
      <c r="H54" s="18">
        <f>5636-64-710-41+355</f>
        <v>5176</v>
      </c>
      <c r="I54" s="47">
        <f>5572-5572</f>
        <v>0</v>
      </c>
      <c r="J54" s="47">
        <v>0</v>
      </c>
      <c r="K54" s="47">
        <v>0</v>
      </c>
      <c r="L54" s="82"/>
      <c r="M54" s="84"/>
    </row>
    <row r="55" spans="1:13" ht="63.75" customHeight="1">
      <c r="A55" s="98"/>
      <c r="B55" s="84"/>
      <c r="C55" s="17" t="s">
        <v>44</v>
      </c>
      <c r="D55" s="2" t="s">
        <v>11</v>
      </c>
      <c r="E55" s="3">
        <v>0</v>
      </c>
      <c r="F55" s="18">
        <f>G55+H55+I55+J55+K55</f>
        <v>0</v>
      </c>
      <c r="G55" s="18">
        <v>0</v>
      </c>
      <c r="H55" s="18">
        <v>0</v>
      </c>
      <c r="I55" s="47">
        <v>0</v>
      </c>
      <c r="J55" s="18">
        <v>0</v>
      </c>
      <c r="K55" s="18">
        <v>0</v>
      </c>
      <c r="L55" s="82"/>
      <c r="M55" s="84"/>
    </row>
    <row r="56" spans="1:13" ht="140.25" customHeight="1">
      <c r="A56" s="99"/>
      <c r="B56" s="85"/>
      <c r="C56" s="17" t="s">
        <v>44</v>
      </c>
      <c r="D56" s="17" t="s">
        <v>34</v>
      </c>
      <c r="E56" s="3">
        <v>0</v>
      </c>
      <c r="F56" s="18">
        <f>G56+H56+I56+J56+K56</f>
        <v>0</v>
      </c>
      <c r="G56" s="9">
        <v>0</v>
      </c>
      <c r="H56" s="18">
        <v>0</v>
      </c>
      <c r="I56" s="47">
        <v>0</v>
      </c>
      <c r="J56" s="15">
        <v>0</v>
      </c>
      <c r="K56" s="9">
        <v>0</v>
      </c>
      <c r="L56" s="82"/>
      <c r="M56" s="85"/>
    </row>
    <row r="57" spans="1:13" ht="29.25" customHeight="1">
      <c r="A57" s="94" t="s">
        <v>48</v>
      </c>
      <c r="B57" s="79" t="s">
        <v>147</v>
      </c>
      <c r="C57" s="17" t="s">
        <v>44</v>
      </c>
      <c r="D57" s="2" t="s">
        <v>7</v>
      </c>
      <c r="E57" s="3">
        <f>E58+E59+E60+E61</f>
        <v>67812</v>
      </c>
      <c r="F57" s="3">
        <f aca="true" t="shared" si="12" ref="F57:K57">F58+F59+F60+F61</f>
        <v>302524.4</v>
      </c>
      <c r="G57" s="45">
        <f t="shared" si="12"/>
        <v>50819</v>
      </c>
      <c r="H57" s="45">
        <f t="shared" si="12"/>
        <v>56405.4</v>
      </c>
      <c r="I57" s="47">
        <f t="shared" si="12"/>
        <v>65100</v>
      </c>
      <c r="J57" s="47">
        <f t="shared" si="12"/>
        <v>65100</v>
      </c>
      <c r="K57" s="47">
        <f t="shared" si="12"/>
        <v>65100</v>
      </c>
      <c r="L57" s="106" t="s">
        <v>46</v>
      </c>
      <c r="M57" s="83"/>
    </row>
    <row r="58" spans="1:13" ht="39.75" customHeight="1">
      <c r="A58" s="116"/>
      <c r="B58" s="80"/>
      <c r="C58" s="17" t="s">
        <v>44</v>
      </c>
      <c r="D58" s="2" t="s">
        <v>9</v>
      </c>
      <c r="E58" s="3">
        <v>0</v>
      </c>
      <c r="F58" s="18">
        <f>G58+H58+I58+J58+K58</f>
        <v>0</v>
      </c>
      <c r="G58" s="9">
        <v>0</v>
      </c>
      <c r="H58" s="18">
        <v>0</v>
      </c>
      <c r="I58" s="47">
        <v>0</v>
      </c>
      <c r="J58" s="47">
        <v>0</v>
      </c>
      <c r="K58" s="47">
        <v>0</v>
      </c>
      <c r="L58" s="106"/>
      <c r="M58" s="84"/>
    </row>
    <row r="59" spans="1:13" ht="49.5" customHeight="1">
      <c r="A59" s="116"/>
      <c r="B59" s="80"/>
      <c r="C59" s="17" t="s">
        <v>44</v>
      </c>
      <c r="D59" s="2" t="s">
        <v>10</v>
      </c>
      <c r="E59" s="3">
        <v>67812</v>
      </c>
      <c r="F59" s="18">
        <f>G59+H59+I59+J59+K59</f>
        <v>300379</v>
      </c>
      <c r="G59" s="18">
        <f>79144+3114-13191-18601</f>
        <v>50466</v>
      </c>
      <c r="H59" s="18">
        <f>68190+3265-1-15296</f>
        <v>56158</v>
      </c>
      <c r="I59" s="47">
        <v>64585</v>
      </c>
      <c r="J59" s="47">
        <v>64585</v>
      </c>
      <c r="K59" s="47">
        <v>64585</v>
      </c>
      <c r="L59" s="106"/>
      <c r="M59" s="84"/>
    </row>
    <row r="60" spans="1:13" ht="61.5" customHeight="1">
      <c r="A60" s="116"/>
      <c r="B60" s="80"/>
      <c r="C60" s="17" t="s">
        <v>44</v>
      </c>
      <c r="D60" s="2" t="s">
        <v>11</v>
      </c>
      <c r="E60" s="9">
        <v>0</v>
      </c>
      <c r="F60" s="18">
        <f>G60+H60+I60+J60+K60</f>
        <v>2145.4</v>
      </c>
      <c r="G60" s="18">
        <f>353</f>
        <v>353</v>
      </c>
      <c r="H60" s="18">
        <v>247.4</v>
      </c>
      <c r="I60" s="18">
        <v>515</v>
      </c>
      <c r="J60" s="18">
        <v>515</v>
      </c>
      <c r="K60" s="18">
        <v>515</v>
      </c>
      <c r="L60" s="106"/>
      <c r="M60" s="84"/>
    </row>
    <row r="61" spans="1:13" ht="29.25" customHeight="1">
      <c r="A61" s="117"/>
      <c r="B61" s="81"/>
      <c r="C61" s="17" t="s">
        <v>44</v>
      </c>
      <c r="D61" s="17" t="s">
        <v>34</v>
      </c>
      <c r="E61" s="3">
        <v>0</v>
      </c>
      <c r="F61" s="18">
        <f>G61+H61+I61+J61+K61</f>
        <v>0</v>
      </c>
      <c r="G61" s="9">
        <v>0</v>
      </c>
      <c r="H61" s="18">
        <v>0</v>
      </c>
      <c r="I61" s="47">
        <v>0</v>
      </c>
      <c r="J61" s="47">
        <v>0</v>
      </c>
      <c r="K61" s="47">
        <v>0</v>
      </c>
      <c r="L61" s="106"/>
      <c r="M61" s="85"/>
    </row>
    <row r="62" spans="1:13" ht="29.25" customHeight="1">
      <c r="A62" s="90" t="s">
        <v>49</v>
      </c>
      <c r="B62" s="79" t="s">
        <v>122</v>
      </c>
      <c r="C62" s="17" t="s">
        <v>44</v>
      </c>
      <c r="D62" s="2" t="s">
        <v>7</v>
      </c>
      <c r="E62" s="3">
        <f>E63+E64+E65+E66</f>
        <v>597265.2</v>
      </c>
      <c r="F62" s="3">
        <f aca="true" t="shared" si="13" ref="F62:K62">F63+F64+F65+F66</f>
        <v>817636.95</v>
      </c>
      <c r="G62" s="3">
        <f>G63+G64+G65+G66</f>
        <v>518793.6</v>
      </c>
      <c r="H62" s="3">
        <f>H63+H64+H65+H66</f>
        <v>298843.35000000003</v>
      </c>
      <c r="I62" s="46">
        <f t="shared" si="13"/>
        <v>0</v>
      </c>
      <c r="J62" s="3">
        <f t="shared" si="13"/>
        <v>0</v>
      </c>
      <c r="K62" s="3">
        <f t="shared" si="13"/>
        <v>0</v>
      </c>
      <c r="L62" s="82" t="s">
        <v>14</v>
      </c>
      <c r="M62" s="83"/>
    </row>
    <row r="63" spans="1:13" ht="42" customHeight="1">
      <c r="A63" s="116"/>
      <c r="B63" s="80"/>
      <c r="C63" s="17" t="s">
        <v>44</v>
      </c>
      <c r="D63" s="2" t="s">
        <v>9</v>
      </c>
      <c r="E63" s="3">
        <v>0</v>
      </c>
      <c r="F63" s="18">
        <f>G63+H63+I63+J63+K63</f>
        <v>0</v>
      </c>
      <c r="G63" s="9">
        <v>0</v>
      </c>
      <c r="H63" s="18">
        <v>0</v>
      </c>
      <c r="I63" s="47">
        <v>0</v>
      </c>
      <c r="J63" s="15">
        <v>0</v>
      </c>
      <c r="K63" s="9">
        <v>0</v>
      </c>
      <c r="L63" s="82"/>
      <c r="M63" s="84"/>
    </row>
    <row r="64" spans="1:13" ht="50.25" customHeight="1">
      <c r="A64" s="116"/>
      <c r="B64" s="80"/>
      <c r="C64" s="17" t="s">
        <v>44</v>
      </c>
      <c r="D64" s="2" t="s">
        <v>10</v>
      </c>
      <c r="E64" s="3">
        <v>0</v>
      </c>
      <c r="F64" s="18">
        <f>G64+H64+I64+J64+K64</f>
        <v>0</v>
      </c>
      <c r="G64" s="9">
        <v>0</v>
      </c>
      <c r="H64" s="9">
        <v>0</v>
      </c>
      <c r="I64" s="47">
        <v>0</v>
      </c>
      <c r="J64" s="9">
        <v>0</v>
      </c>
      <c r="K64" s="9">
        <v>0</v>
      </c>
      <c r="L64" s="82"/>
      <c r="M64" s="84"/>
    </row>
    <row r="65" spans="1:13" ht="64.5" customHeight="1">
      <c r="A65" s="116"/>
      <c r="B65" s="80"/>
      <c r="C65" s="17" t="s">
        <v>44</v>
      </c>
      <c r="D65" s="2" t="s">
        <v>11</v>
      </c>
      <c r="E65" s="3">
        <v>435903.5</v>
      </c>
      <c r="F65" s="18">
        <f>G65+H65+I65+J65+K65</f>
        <v>536436.95</v>
      </c>
      <c r="G65" s="18">
        <f>357724+310.46-1200+234.36+3018-157.95-3184+553.73-605</f>
        <v>356693.6</v>
      </c>
      <c r="H65" s="47">
        <f>347253-4831-20539-10696-8043+266.91+1500+728.2+394.5+1700-496.3-49333.65+567.2-1500-177.24+1893.78-4168.31+883.27+497.3+1013.6+2914.9-2914.9-505.8-76664.11</f>
        <v>179743.35000000003</v>
      </c>
      <c r="I65" s="47">
        <f>302967-302967</f>
        <v>0</v>
      </c>
      <c r="J65" s="47">
        <v>0</v>
      </c>
      <c r="K65" s="47">
        <v>0</v>
      </c>
      <c r="L65" s="82"/>
      <c r="M65" s="84"/>
    </row>
    <row r="66" spans="1:13" ht="29.25" customHeight="1">
      <c r="A66" s="117"/>
      <c r="B66" s="81"/>
      <c r="C66" s="17" t="s">
        <v>44</v>
      </c>
      <c r="D66" s="17" t="s">
        <v>34</v>
      </c>
      <c r="E66" s="3">
        <v>161361.7</v>
      </c>
      <c r="F66" s="18">
        <f>G66+H66+I66+J66+K66</f>
        <v>281200</v>
      </c>
      <c r="G66" s="18">
        <f>167100+15000-20000</f>
        <v>162100</v>
      </c>
      <c r="H66" s="18">
        <f>167100-70000+22000</f>
        <v>119100</v>
      </c>
      <c r="I66" s="47">
        <v>0</v>
      </c>
      <c r="J66" s="47">
        <v>0</v>
      </c>
      <c r="K66" s="47">
        <v>0</v>
      </c>
      <c r="L66" s="82"/>
      <c r="M66" s="85"/>
    </row>
    <row r="67" spans="1:13" ht="24.75" customHeight="1">
      <c r="A67" s="90" t="s">
        <v>86</v>
      </c>
      <c r="B67" s="86" t="s">
        <v>123</v>
      </c>
      <c r="C67" s="17" t="s">
        <v>44</v>
      </c>
      <c r="D67" s="2" t="s">
        <v>7</v>
      </c>
      <c r="E67" s="3">
        <f aca="true" t="shared" si="14" ref="E67:K67">E68+E69+E70+E71</f>
        <v>0</v>
      </c>
      <c r="F67" s="3">
        <f t="shared" si="14"/>
        <v>48392.96</v>
      </c>
      <c r="G67" s="45">
        <f t="shared" si="14"/>
        <v>22719.44</v>
      </c>
      <c r="H67" s="45">
        <f t="shared" si="14"/>
        <v>25673.52</v>
      </c>
      <c r="I67" s="46">
        <f t="shared" si="14"/>
        <v>0</v>
      </c>
      <c r="J67" s="46">
        <f t="shared" si="14"/>
        <v>0</v>
      </c>
      <c r="K67" s="46">
        <f t="shared" si="14"/>
        <v>0</v>
      </c>
      <c r="L67" s="82" t="s">
        <v>14</v>
      </c>
      <c r="M67" s="83"/>
    </row>
    <row r="68" spans="1:13" ht="39" customHeight="1">
      <c r="A68" s="91"/>
      <c r="B68" s="87"/>
      <c r="C68" s="17" t="s">
        <v>44</v>
      </c>
      <c r="D68" s="2" t="s">
        <v>9</v>
      </c>
      <c r="E68" s="3">
        <v>0</v>
      </c>
      <c r="F68" s="18">
        <f>G68+H68+I68+J68+K68</f>
        <v>0</v>
      </c>
      <c r="G68" s="18">
        <v>0</v>
      </c>
      <c r="H68" s="18">
        <v>0</v>
      </c>
      <c r="I68" s="47">
        <v>0</v>
      </c>
      <c r="J68" s="47">
        <v>0</v>
      </c>
      <c r="K68" s="47">
        <v>0</v>
      </c>
      <c r="L68" s="82"/>
      <c r="M68" s="84"/>
    </row>
    <row r="69" spans="1:13" ht="49.5" customHeight="1">
      <c r="A69" s="91"/>
      <c r="B69" s="87"/>
      <c r="C69" s="17" t="s">
        <v>44</v>
      </c>
      <c r="D69" s="2" t="s">
        <v>10</v>
      </c>
      <c r="E69" s="3">
        <v>0</v>
      </c>
      <c r="F69" s="18">
        <f>G69+H69+I69+J69+K69</f>
        <v>0</v>
      </c>
      <c r="G69" s="9">
        <v>0</v>
      </c>
      <c r="H69" s="9">
        <v>0</v>
      </c>
      <c r="I69" s="47">
        <v>0</v>
      </c>
      <c r="J69" s="47">
        <v>0</v>
      </c>
      <c r="K69" s="47">
        <v>0</v>
      </c>
      <c r="L69" s="82"/>
      <c r="M69" s="84"/>
    </row>
    <row r="70" spans="1:13" ht="62.25" customHeight="1">
      <c r="A70" s="91"/>
      <c r="B70" s="87"/>
      <c r="C70" s="17" t="s">
        <v>44</v>
      </c>
      <c r="D70" s="2" t="s">
        <v>11</v>
      </c>
      <c r="E70" s="3">
        <v>0</v>
      </c>
      <c r="F70" s="18">
        <f>G70+H70+I70+J70+K70</f>
        <v>48392.96</v>
      </c>
      <c r="G70" s="9">
        <f>22338.6+222.84+158</f>
        <v>22719.44</v>
      </c>
      <c r="H70" s="9">
        <f>42924-182.75-5256-6066.3-5745.43</f>
        <v>25673.52</v>
      </c>
      <c r="I70" s="47">
        <f>37668-37668</f>
        <v>0</v>
      </c>
      <c r="J70" s="47">
        <v>0</v>
      </c>
      <c r="K70" s="47">
        <v>0</v>
      </c>
      <c r="L70" s="82"/>
      <c r="M70" s="84"/>
    </row>
    <row r="71" spans="1:13" ht="27" customHeight="1">
      <c r="A71" s="92"/>
      <c r="B71" s="88"/>
      <c r="C71" s="17" t="s">
        <v>44</v>
      </c>
      <c r="D71" s="17" t="s">
        <v>34</v>
      </c>
      <c r="E71" s="3">
        <v>0</v>
      </c>
      <c r="F71" s="18">
        <f>G71+H71+I71+J71+K71</f>
        <v>0</v>
      </c>
      <c r="G71" s="9">
        <v>0</v>
      </c>
      <c r="H71" s="18">
        <v>0</v>
      </c>
      <c r="I71" s="47">
        <v>0</v>
      </c>
      <c r="J71" s="47">
        <v>0</v>
      </c>
      <c r="K71" s="47">
        <v>0</v>
      </c>
      <c r="L71" s="82"/>
      <c r="M71" s="85"/>
    </row>
    <row r="72" spans="1:13" ht="27" customHeight="1">
      <c r="A72" s="90" t="s">
        <v>158</v>
      </c>
      <c r="B72" s="86" t="s">
        <v>161</v>
      </c>
      <c r="C72" s="17" t="s">
        <v>44</v>
      </c>
      <c r="D72" s="2" t="s">
        <v>7</v>
      </c>
      <c r="E72" s="3">
        <v>0</v>
      </c>
      <c r="F72" s="18">
        <f aca="true" t="shared" si="15" ref="F72:K72">F73+F74+F75+F76</f>
        <v>12543.17</v>
      </c>
      <c r="G72" s="18">
        <f t="shared" si="15"/>
        <v>0</v>
      </c>
      <c r="H72" s="18">
        <f t="shared" si="15"/>
        <v>4797.17</v>
      </c>
      <c r="I72" s="47">
        <f t="shared" si="15"/>
        <v>3840</v>
      </c>
      <c r="J72" s="47">
        <f t="shared" si="15"/>
        <v>1953</v>
      </c>
      <c r="K72" s="47">
        <f t="shared" si="15"/>
        <v>1953</v>
      </c>
      <c r="L72" s="82" t="s">
        <v>14</v>
      </c>
      <c r="M72" s="89"/>
    </row>
    <row r="73" spans="1:13" ht="37.5" customHeight="1">
      <c r="A73" s="95"/>
      <c r="B73" s="109"/>
      <c r="C73" s="17" t="s">
        <v>44</v>
      </c>
      <c r="D73" s="2" t="s">
        <v>9</v>
      </c>
      <c r="E73" s="3">
        <v>0</v>
      </c>
      <c r="F73" s="18">
        <f>G73+H73+I73+J73+K73</f>
        <v>0</v>
      </c>
      <c r="G73" s="9">
        <v>0</v>
      </c>
      <c r="H73" s="18">
        <v>0</v>
      </c>
      <c r="I73" s="47">
        <v>0</v>
      </c>
      <c r="J73" s="47">
        <v>0</v>
      </c>
      <c r="K73" s="47">
        <v>0</v>
      </c>
      <c r="L73" s="82"/>
      <c r="M73" s="84"/>
    </row>
    <row r="74" spans="1:13" ht="47.25" customHeight="1">
      <c r="A74" s="95"/>
      <c r="B74" s="109"/>
      <c r="C74" s="17" t="s">
        <v>44</v>
      </c>
      <c r="D74" s="2" t="s">
        <v>10</v>
      </c>
      <c r="E74" s="3">
        <v>0</v>
      </c>
      <c r="F74" s="18">
        <f>G74+H74+I74+J74+K74</f>
        <v>6045</v>
      </c>
      <c r="G74" s="9">
        <v>0</v>
      </c>
      <c r="H74" s="18">
        <v>0</v>
      </c>
      <c r="I74" s="47">
        <f>3491+50</f>
        <v>3541</v>
      </c>
      <c r="J74" s="47">
        <v>1252</v>
      </c>
      <c r="K74" s="47">
        <v>1252</v>
      </c>
      <c r="L74" s="82"/>
      <c r="M74" s="84"/>
    </row>
    <row r="75" spans="1:13" ht="62.25" customHeight="1">
      <c r="A75" s="95"/>
      <c r="B75" s="109"/>
      <c r="C75" s="17" t="s">
        <v>44</v>
      </c>
      <c r="D75" s="2" t="s">
        <v>11</v>
      </c>
      <c r="E75" s="3">
        <v>0</v>
      </c>
      <c r="F75" s="18">
        <f>G75+H75+I75+J75+K75</f>
        <v>6498.17</v>
      </c>
      <c r="G75" s="9">
        <v>0</v>
      </c>
      <c r="H75" s="18">
        <f>4948.27-151.1</f>
        <v>4797.17</v>
      </c>
      <c r="I75" s="47">
        <f>270+29</f>
        <v>299</v>
      </c>
      <c r="J75" s="47">
        <v>701</v>
      </c>
      <c r="K75" s="47">
        <v>701</v>
      </c>
      <c r="L75" s="82"/>
      <c r="M75" s="84"/>
    </row>
    <row r="76" spans="1:13" ht="29.25" customHeight="1">
      <c r="A76" s="96"/>
      <c r="B76" s="110"/>
      <c r="C76" s="17" t="s">
        <v>44</v>
      </c>
      <c r="D76" s="17" t="s">
        <v>34</v>
      </c>
      <c r="E76" s="3">
        <v>0</v>
      </c>
      <c r="F76" s="18">
        <f>G76+H76+I76+J76+K76</f>
        <v>0</v>
      </c>
      <c r="G76" s="9">
        <v>0</v>
      </c>
      <c r="H76" s="18">
        <v>0</v>
      </c>
      <c r="I76" s="47">
        <v>0</v>
      </c>
      <c r="J76" s="47">
        <v>0</v>
      </c>
      <c r="K76" s="47">
        <v>0</v>
      </c>
      <c r="L76" s="82"/>
      <c r="M76" s="85"/>
    </row>
    <row r="77" spans="1:13" ht="24.75" customHeight="1">
      <c r="A77" s="130" t="s">
        <v>28</v>
      </c>
      <c r="B77" s="100" t="s">
        <v>156</v>
      </c>
      <c r="C77" s="17" t="s">
        <v>44</v>
      </c>
      <c r="D77" s="2" t="s">
        <v>7</v>
      </c>
      <c r="E77" s="3">
        <f>E78+E79+E80+E81</f>
        <v>0</v>
      </c>
      <c r="F77" s="3">
        <f aca="true" t="shared" si="16" ref="F77:K77">F78+F79+F80+F81</f>
        <v>2499.85</v>
      </c>
      <c r="G77" s="3">
        <f t="shared" si="16"/>
        <v>0</v>
      </c>
      <c r="H77" s="3">
        <f t="shared" si="16"/>
        <v>2499.85</v>
      </c>
      <c r="I77" s="46">
        <f t="shared" si="16"/>
        <v>0</v>
      </c>
      <c r="J77" s="46">
        <f t="shared" si="16"/>
        <v>0</v>
      </c>
      <c r="K77" s="46">
        <f t="shared" si="16"/>
        <v>0</v>
      </c>
      <c r="L77" s="83" t="s">
        <v>46</v>
      </c>
      <c r="M77" s="86" t="s">
        <v>190</v>
      </c>
    </row>
    <row r="78" spans="1:13" ht="38.25" customHeight="1">
      <c r="A78" s="131"/>
      <c r="B78" s="101"/>
      <c r="C78" s="17" t="s">
        <v>44</v>
      </c>
      <c r="D78" s="2" t="s">
        <v>9</v>
      </c>
      <c r="E78" s="3">
        <f>E83</f>
        <v>0</v>
      </c>
      <c r="F78" s="18">
        <f>G78+H78+I78+J78+K78</f>
        <v>1851.99</v>
      </c>
      <c r="G78" s="18">
        <f aca="true" t="shared" si="17" ref="G78:K81">G83+G88</f>
        <v>0</v>
      </c>
      <c r="H78" s="18">
        <f t="shared" si="17"/>
        <v>1851.99</v>
      </c>
      <c r="I78" s="47">
        <f t="shared" si="17"/>
        <v>0</v>
      </c>
      <c r="J78" s="18">
        <f t="shared" si="17"/>
        <v>0</v>
      </c>
      <c r="K78" s="18">
        <f t="shared" si="17"/>
        <v>0</v>
      </c>
      <c r="L78" s="84"/>
      <c r="M78" s="123"/>
    </row>
    <row r="79" spans="1:13" ht="51.75" customHeight="1">
      <c r="A79" s="131"/>
      <c r="B79" s="101"/>
      <c r="C79" s="17" t="s">
        <v>44</v>
      </c>
      <c r="D79" s="2" t="s">
        <v>10</v>
      </c>
      <c r="E79" s="3">
        <f>E84</f>
        <v>0</v>
      </c>
      <c r="F79" s="18">
        <f>G79+H79+I79+J79+K79</f>
        <v>617.01</v>
      </c>
      <c r="G79" s="18">
        <f t="shared" si="17"/>
        <v>0</v>
      </c>
      <c r="H79" s="18">
        <f t="shared" si="17"/>
        <v>617.01</v>
      </c>
      <c r="I79" s="47">
        <f t="shared" si="17"/>
        <v>0</v>
      </c>
      <c r="J79" s="18">
        <f t="shared" si="17"/>
        <v>0</v>
      </c>
      <c r="K79" s="18">
        <f t="shared" si="17"/>
        <v>0</v>
      </c>
      <c r="L79" s="84"/>
      <c r="M79" s="123"/>
    </row>
    <row r="80" spans="1:13" ht="62.25" customHeight="1">
      <c r="A80" s="131"/>
      <c r="B80" s="101"/>
      <c r="C80" s="17" t="s">
        <v>44</v>
      </c>
      <c r="D80" s="2" t="s">
        <v>11</v>
      </c>
      <c r="E80" s="3">
        <f>E85</f>
        <v>0</v>
      </c>
      <c r="F80" s="18">
        <f>G80+H80+I80+J80+K80</f>
        <v>30.85</v>
      </c>
      <c r="G80" s="18">
        <f t="shared" si="17"/>
        <v>0</v>
      </c>
      <c r="H80" s="18">
        <f t="shared" si="17"/>
        <v>30.85</v>
      </c>
      <c r="I80" s="47">
        <f t="shared" si="17"/>
        <v>0</v>
      </c>
      <c r="J80" s="18">
        <f t="shared" si="17"/>
        <v>0</v>
      </c>
      <c r="K80" s="18">
        <f t="shared" si="17"/>
        <v>0</v>
      </c>
      <c r="L80" s="84"/>
      <c r="M80" s="123"/>
    </row>
    <row r="81" spans="1:13" ht="409.5" customHeight="1">
      <c r="A81" s="132"/>
      <c r="B81" s="102"/>
      <c r="C81" s="17" t="s">
        <v>44</v>
      </c>
      <c r="D81" s="17" t="s">
        <v>34</v>
      </c>
      <c r="E81" s="3">
        <f>E86</f>
        <v>0</v>
      </c>
      <c r="F81" s="18">
        <f>G81+H81+I81+J81+K81</f>
        <v>0</v>
      </c>
      <c r="G81" s="18">
        <f t="shared" si="17"/>
        <v>0</v>
      </c>
      <c r="H81" s="18">
        <f t="shared" si="17"/>
        <v>0</v>
      </c>
      <c r="I81" s="47">
        <f t="shared" si="17"/>
        <v>0</v>
      </c>
      <c r="J81" s="18">
        <f t="shared" si="17"/>
        <v>0</v>
      </c>
      <c r="K81" s="18">
        <f t="shared" si="17"/>
        <v>0</v>
      </c>
      <c r="L81" s="85"/>
      <c r="M81" s="124"/>
    </row>
    <row r="82" spans="1:13" ht="24.75" customHeight="1">
      <c r="A82" s="94" t="s">
        <v>33</v>
      </c>
      <c r="B82" s="79" t="s">
        <v>114</v>
      </c>
      <c r="C82" s="17" t="s">
        <v>44</v>
      </c>
      <c r="D82" s="2" t="s">
        <v>7</v>
      </c>
      <c r="E82" s="3">
        <f aca="true" t="shared" si="18" ref="E82:K82">E83+E84+E85+E86</f>
        <v>0</v>
      </c>
      <c r="F82" s="3">
        <f t="shared" si="18"/>
        <v>0</v>
      </c>
      <c r="G82" s="3">
        <f t="shared" si="18"/>
        <v>0</v>
      </c>
      <c r="H82" s="3">
        <f t="shared" si="18"/>
        <v>0</v>
      </c>
      <c r="I82" s="46">
        <f t="shared" si="18"/>
        <v>0</v>
      </c>
      <c r="J82" s="3">
        <f t="shared" si="18"/>
        <v>0</v>
      </c>
      <c r="K82" s="3">
        <f t="shared" si="18"/>
        <v>0</v>
      </c>
      <c r="L82" s="83" t="s">
        <v>46</v>
      </c>
      <c r="M82" s="89"/>
    </row>
    <row r="83" spans="1:13" ht="41.25" customHeight="1">
      <c r="A83" s="95"/>
      <c r="B83" s="109"/>
      <c r="C83" s="17" t="s">
        <v>44</v>
      </c>
      <c r="D83" s="2" t="s">
        <v>9</v>
      </c>
      <c r="E83" s="3">
        <v>0</v>
      </c>
      <c r="F83" s="18">
        <f>G83+H83+I83+J83+K83</f>
        <v>0</v>
      </c>
      <c r="G83" s="18">
        <f aca="true" t="shared" si="19" ref="G83:K86">H83+I83+J83+K83+L83</f>
        <v>0</v>
      </c>
      <c r="H83" s="18">
        <f t="shared" si="19"/>
        <v>0</v>
      </c>
      <c r="I83" s="47">
        <f t="shared" si="19"/>
        <v>0</v>
      </c>
      <c r="J83" s="18">
        <f t="shared" si="19"/>
        <v>0</v>
      </c>
      <c r="K83" s="18">
        <f t="shared" si="19"/>
        <v>0</v>
      </c>
      <c r="L83" s="84"/>
      <c r="M83" s="84"/>
    </row>
    <row r="84" spans="1:13" ht="53.25" customHeight="1">
      <c r="A84" s="95"/>
      <c r="B84" s="109"/>
      <c r="C84" s="17" t="s">
        <v>44</v>
      </c>
      <c r="D84" s="2" t="s">
        <v>10</v>
      </c>
      <c r="E84" s="3">
        <v>0</v>
      </c>
      <c r="F84" s="18">
        <f>G84+H84+I84+J84+K84</f>
        <v>0</v>
      </c>
      <c r="G84" s="18">
        <f t="shared" si="19"/>
        <v>0</v>
      </c>
      <c r="H84" s="18">
        <f t="shared" si="19"/>
        <v>0</v>
      </c>
      <c r="I84" s="47">
        <f t="shared" si="19"/>
        <v>0</v>
      </c>
      <c r="J84" s="18">
        <f t="shared" si="19"/>
        <v>0</v>
      </c>
      <c r="K84" s="18">
        <f t="shared" si="19"/>
        <v>0</v>
      </c>
      <c r="L84" s="84"/>
      <c r="M84" s="84"/>
    </row>
    <row r="85" spans="1:13" ht="68.25" customHeight="1">
      <c r="A85" s="95"/>
      <c r="B85" s="109"/>
      <c r="C85" s="17" t="s">
        <v>44</v>
      </c>
      <c r="D85" s="2" t="s">
        <v>11</v>
      </c>
      <c r="E85" s="3">
        <v>0</v>
      </c>
      <c r="F85" s="18">
        <f>G85+H85+I85+J85+K85</f>
        <v>0</v>
      </c>
      <c r="G85" s="18">
        <f t="shared" si="19"/>
        <v>0</v>
      </c>
      <c r="H85" s="18">
        <f t="shared" si="19"/>
        <v>0</v>
      </c>
      <c r="I85" s="47">
        <f t="shared" si="19"/>
        <v>0</v>
      </c>
      <c r="J85" s="18">
        <f t="shared" si="19"/>
        <v>0</v>
      </c>
      <c r="K85" s="18">
        <f t="shared" si="19"/>
        <v>0</v>
      </c>
      <c r="L85" s="84"/>
      <c r="M85" s="84"/>
    </row>
    <row r="86" spans="1:13" ht="28.5" customHeight="1">
      <c r="A86" s="96"/>
      <c r="B86" s="110"/>
      <c r="C86" s="17" t="s">
        <v>44</v>
      </c>
      <c r="D86" s="17" t="s">
        <v>34</v>
      </c>
      <c r="E86" s="3">
        <v>0</v>
      </c>
      <c r="F86" s="18">
        <f>G86+H86+I86+J86+K86</f>
        <v>0</v>
      </c>
      <c r="G86" s="18">
        <f t="shared" si="19"/>
        <v>0</v>
      </c>
      <c r="H86" s="18">
        <f t="shared" si="19"/>
        <v>0</v>
      </c>
      <c r="I86" s="47">
        <f t="shared" si="19"/>
        <v>0</v>
      </c>
      <c r="J86" s="18">
        <f t="shared" si="19"/>
        <v>0</v>
      </c>
      <c r="K86" s="18">
        <f t="shared" si="19"/>
        <v>0</v>
      </c>
      <c r="L86" s="85"/>
      <c r="M86" s="85"/>
    </row>
    <row r="87" spans="1:13" ht="28.5" customHeight="1">
      <c r="A87" s="90" t="s">
        <v>40</v>
      </c>
      <c r="B87" s="79" t="s">
        <v>124</v>
      </c>
      <c r="C87" s="17" t="s">
        <v>44</v>
      </c>
      <c r="D87" s="2" t="s">
        <v>7</v>
      </c>
      <c r="E87" s="3">
        <f>E88+E89+E90+E91</f>
        <v>0</v>
      </c>
      <c r="F87" s="3">
        <f aca="true" t="shared" si="20" ref="F87:K87">F88+F89+F90+F91</f>
        <v>2499.85</v>
      </c>
      <c r="G87" s="3">
        <f t="shared" si="20"/>
        <v>0</v>
      </c>
      <c r="H87" s="3">
        <f t="shared" si="20"/>
        <v>2499.85</v>
      </c>
      <c r="I87" s="46">
        <f t="shared" si="20"/>
        <v>0</v>
      </c>
      <c r="J87" s="3">
        <f t="shared" si="20"/>
        <v>0</v>
      </c>
      <c r="K87" s="3">
        <f t="shared" si="20"/>
        <v>0</v>
      </c>
      <c r="L87" s="83" t="s">
        <v>46</v>
      </c>
      <c r="M87" s="76"/>
    </row>
    <row r="88" spans="1:13" ht="39" customHeight="1">
      <c r="A88" s="91"/>
      <c r="B88" s="77"/>
      <c r="C88" s="17" t="s">
        <v>44</v>
      </c>
      <c r="D88" s="2" t="s">
        <v>9</v>
      </c>
      <c r="E88" s="3">
        <v>0</v>
      </c>
      <c r="F88" s="18">
        <f>G88+H88+I88+J88+K88</f>
        <v>1851.99</v>
      </c>
      <c r="G88" s="18">
        <v>0</v>
      </c>
      <c r="H88" s="47">
        <f>1851+0.99</f>
        <v>1851.99</v>
      </c>
      <c r="I88" s="47">
        <v>0</v>
      </c>
      <c r="J88" s="18">
        <v>0</v>
      </c>
      <c r="K88" s="18">
        <v>0</v>
      </c>
      <c r="L88" s="84"/>
      <c r="M88" s="77"/>
    </row>
    <row r="89" spans="1:13" ht="49.5" customHeight="1">
      <c r="A89" s="91"/>
      <c r="B89" s="77"/>
      <c r="C89" s="17" t="s">
        <v>44</v>
      </c>
      <c r="D89" s="2" t="s">
        <v>10</v>
      </c>
      <c r="E89" s="3">
        <v>0</v>
      </c>
      <c r="F89" s="18">
        <f>G89+H89+I89+J89+K89</f>
        <v>617.01</v>
      </c>
      <c r="G89" s="18">
        <v>0</v>
      </c>
      <c r="H89" s="47">
        <f>617+0.01</f>
        <v>617.01</v>
      </c>
      <c r="I89" s="47">
        <v>0</v>
      </c>
      <c r="J89" s="18">
        <v>0</v>
      </c>
      <c r="K89" s="18">
        <v>0</v>
      </c>
      <c r="L89" s="84"/>
      <c r="M89" s="77"/>
    </row>
    <row r="90" spans="1:13" ht="63" customHeight="1">
      <c r="A90" s="91"/>
      <c r="B90" s="77"/>
      <c r="C90" s="17" t="s">
        <v>44</v>
      </c>
      <c r="D90" s="2" t="s">
        <v>11</v>
      </c>
      <c r="E90" s="3">
        <v>0</v>
      </c>
      <c r="F90" s="18">
        <f>G90+H90+I90+J90+K90</f>
        <v>30.85</v>
      </c>
      <c r="G90" s="18">
        <v>0</v>
      </c>
      <c r="H90" s="18">
        <v>30.85</v>
      </c>
      <c r="I90" s="47">
        <v>0</v>
      </c>
      <c r="J90" s="18">
        <v>0</v>
      </c>
      <c r="K90" s="18">
        <v>0</v>
      </c>
      <c r="L90" s="84"/>
      <c r="M90" s="77"/>
    </row>
    <row r="91" spans="1:13" ht="146.25" customHeight="1">
      <c r="A91" s="92"/>
      <c r="B91" s="78"/>
      <c r="C91" s="17" t="s">
        <v>44</v>
      </c>
      <c r="D91" s="17" t="s">
        <v>34</v>
      </c>
      <c r="E91" s="3">
        <v>0</v>
      </c>
      <c r="F91" s="18">
        <f>G91+H91+I91+J91+K91</f>
        <v>0</v>
      </c>
      <c r="G91" s="18">
        <v>0</v>
      </c>
      <c r="H91" s="18">
        <v>0</v>
      </c>
      <c r="I91" s="47">
        <v>0</v>
      </c>
      <c r="J91" s="18">
        <v>0</v>
      </c>
      <c r="K91" s="18">
        <v>0</v>
      </c>
      <c r="L91" s="85"/>
      <c r="M91" s="78"/>
    </row>
    <row r="92" spans="1:13" ht="19.5" customHeight="1">
      <c r="A92" s="111"/>
      <c r="B92" s="120" t="s">
        <v>12</v>
      </c>
      <c r="C92" s="17" t="s">
        <v>44</v>
      </c>
      <c r="D92" s="2" t="s">
        <v>7</v>
      </c>
      <c r="E92" s="3">
        <f>E93+E94+E95+E96</f>
        <v>1572148.2</v>
      </c>
      <c r="F92" s="18">
        <f aca="true" t="shared" si="21" ref="F92:K92">F93+F94+F95+F96</f>
        <v>2987124.58</v>
      </c>
      <c r="G92" s="9">
        <f t="shared" si="21"/>
        <v>1640101.04</v>
      </c>
      <c r="H92" s="18">
        <f t="shared" si="21"/>
        <v>1042267.1100000001</v>
      </c>
      <c r="I92" s="47">
        <f t="shared" si="21"/>
        <v>170650.43</v>
      </c>
      <c r="J92" s="18">
        <f t="shared" si="21"/>
        <v>67053</v>
      </c>
      <c r="K92" s="18">
        <f t="shared" si="21"/>
        <v>67053</v>
      </c>
      <c r="L92" s="82"/>
      <c r="M92" s="82"/>
    </row>
    <row r="93" spans="1:13" ht="36">
      <c r="A93" s="111"/>
      <c r="B93" s="120"/>
      <c r="C93" s="17" t="s">
        <v>44</v>
      </c>
      <c r="D93" s="2" t="s">
        <v>9</v>
      </c>
      <c r="E93" s="3">
        <f>E18+E38+E78</f>
        <v>0</v>
      </c>
      <c r="F93" s="9">
        <f>G93+H93+I93+J93+K93</f>
        <v>1851.99</v>
      </c>
      <c r="G93" s="9">
        <f aca="true" t="shared" si="22" ref="G93:K96">G18+G38+G78</f>
        <v>0</v>
      </c>
      <c r="H93" s="9">
        <f t="shared" si="22"/>
        <v>1851.99</v>
      </c>
      <c r="I93" s="47">
        <f t="shared" si="22"/>
        <v>0</v>
      </c>
      <c r="J93" s="9">
        <f t="shared" si="22"/>
        <v>0</v>
      </c>
      <c r="K93" s="9">
        <f t="shared" si="22"/>
        <v>0</v>
      </c>
      <c r="L93" s="82"/>
      <c r="M93" s="82"/>
    </row>
    <row r="94" spans="1:13" ht="48">
      <c r="A94" s="111"/>
      <c r="B94" s="120"/>
      <c r="C94" s="17" t="s">
        <v>44</v>
      </c>
      <c r="D94" s="2" t="s">
        <v>10</v>
      </c>
      <c r="E94" s="3">
        <f>E19+E39+E79</f>
        <v>974833</v>
      </c>
      <c r="F94" s="9">
        <f>G94+H94+I94+J94+K94</f>
        <v>2020103.01</v>
      </c>
      <c r="G94" s="9">
        <f t="shared" si="22"/>
        <v>1084163</v>
      </c>
      <c r="H94" s="9">
        <f t="shared" si="22"/>
        <v>683170.01</v>
      </c>
      <c r="I94" s="47">
        <f>I19+I39+I79</f>
        <v>121096</v>
      </c>
      <c r="J94" s="9">
        <f t="shared" si="22"/>
        <v>65837</v>
      </c>
      <c r="K94" s="9">
        <f t="shared" si="22"/>
        <v>65837</v>
      </c>
      <c r="L94" s="82"/>
      <c r="M94" s="82"/>
    </row>
    <row r="95" spans="1:13" ht="60">
      <c r="A95" s="111"/>
      <c r="B95" s="120"/>
      <c r="C95" s="17" t="s">
        <v>44</v>
      </c>
      <c r="D95" s="2" t="s">
        <v>11</v>
      </c>
      <c r="E95" s="3">
        <f>E20+E40+E80</f>
        <v>435953.5</v>
      </c>
      <c r="F95" s="9">
        <f>G95+H95+I95+J95+K95</f>
        <v>655969.5800000001</v>
      </c>
      <c r="G95" s="9">
        <f t="shared" si="22"/>
        <v>380838.04</v>
      </c>
      <c r="H95" s="9">
        <f t="shared" si="22"/>
        <v>223145.11000000004</v>
      </c>
      <c r="I95" s="47">
        <f t="shared" si="22"/>
        <v>49554.43</v>
      </c>
      <c r="J95" s="47">
        <f t="shared" si="22"/>
        <v>1216</v>
      </c>
      <c r="K95" s="47">
        <f t="shared" si="22"/>
        <v>1216</v>
      </c>
      <c r="L95" s="82"/>
      <c r="M95" s="82"/>
    </row>
    <row r="96" spans="1:13" ht="24">
      <c r="A96" s="111"/>
      <c r="B96" s="120"/>
      <c r="C96" s="17" t="s">
        <v>44</v>
      </c>
      <c r="D96" s="17" t="s">
        <v>34</v>
      </c>
      <c r="E96" s="3">
        <f>E21+E41+E81</f>
        <v>161361.7</v>
      </c>
      <c r="F96" s="9">
        <f>G96+H96+I96+J96+K96</f>
        <v>309200</v>
      </c>
      <c r="G96" s="9">
        <f t="shared" si="22"/>
        <v>175100</v>
      </c>
      <c r="H96" s="9">
        <f t="shared" si="22"/>
        <v>134100</v>
      </c>
      <c r="I96" s="47">
        <f t="shared" si="22"/>
        <v>0</v>
      </c>
      <c r="J96" s="9">
        <f t="shared" si="22"/>
        <v>0</v>
      </c>
      <c r="K96" s="9">
        <f t="shared" si="22"/>
        <v>0</v>
      </c>
      <c r="L96" s="82"/>
      <c r="M96" s="82"/>
    </row>
    <row r="97" spans="1:11" ht="15">
      <c r="A97" s="6"/>
      <c r="B97" s="4"/>
      <c r="F97" s="30"/>
      <c r="G97" s="30"/>
      <c r="H97" s="25"/>
      <c r="I97" s="60"/>
      <c r="J97" s="31"/>
      <c r="K97" s="30"/>
    </row>
    <row r="98" spans="6:11" ht="15">
      <c r="F98" s="30"/>
      <c r="G98" s="30"/>
      <c r="H98" s="25"/>
      <c r="I98" s="60"/>
      <c r="J98" s="31"/>
      <c r="K98" s="30"/>
    </row>
    <row r="99" spans="8:9" ht="15">
      <c r="H99" s="8"/>
      <c r="I99" s="61"/>
    </row>
    <row r="100" spans="8:9" ht="15">
      <c r="H100" s="8"/>
      <c r="I100" s="61"/>
    </row>
    <row r="101" spans="8:9" ht="15">
      <c r="H101" s="8"/>
      <c r="I101" s="61"/>
    </row>
    <row r="102" spans="8:9" ht="15">
      <c r="H102" s="8"/>
      <c r="I102" s="61"/>
    </row>
    <row r="103" spans="8:9" ht="15">
      <c r="H103" s="8"/>
      <c r="I103" s="61"/>
    </row>
    <row r="104" spans="8:9" ht="15">
      <c r="H104" s="8"/>
      <c r="I104" s="61"/>
    </row>
    <row r="105" spans="8:9" ht="15">
      <c r="H105" s="8"/>
      <c r="I105" s="61"/>
    </row>
    <row r="106" spans="8:9" ht="15">
      <c r="H106" s="8"/>
      <c r="I106" s="61"/>
    </row>
    <row r="107" spans="8:9" ht="15">
      <c r="H107" s="8"/>
      <c r="I107" s="61"/>
    </row>
    <row r="108" spans="8:9" ht="15">
      <c r="H108" s="8"/>
      <c r="I108" s="61"/>
    </row>
    <row r="109" spans="8:9" ht="15">
      <c r="H109" s="8"/>
      <c r="I109" s="61"/>
    </row>
    <row r="110" spans="8:9" ht="15">
      <c r="H110" s="8"/>
      <c r="I110" s="61"/>
    </row>
    <row r="111" spans="8:9" ht="15">
      <c r="H111" s="8"/>
      <c r="I111" s="61"/>
    </row>
    <row r="112" spans="8:9" ht="15">
      <c r="H112" s="8"/>
      <c r="I112" s="61"/>
    </row>
    <row r="113" spans="8:9" ht="15">
      <c r="H113" s="8"/>
      <c r="I113" s="61"/>
    </row>
    <row r="114" spans="8:9" ht="15">
      <c r="H114" s="8"/>
      <c r="I114" s="61"/>
    </row>
    <row r="115" spans="8:9" ht="15">
      <c r="H115" s="8"/>
      <c r="I115" s="61"/>
    </row>
    <row r="116" spans="8:9" ht="15">
      <c r="H116" s="8"/>
      <c r="I116" s="61"/>
    </row>
    <row r="117" spans="8:9" ht="15">
      <c r="H117" s="8"/>
      <c r="I117" s="61"/>
    </row>
    <row r="118" spans="8:9" ht="15">
      <c r="H118" s="8"/>
      <c r="I118" s="61"/>
    </row>
    <row r="119" spans="8:9" ht="15">
      <c r="H119" s="8"/>
      <c r="I119" s="61"/>
    </row>
    <row r="120" spans="8:9" ht="15">
      <c r="H120" s="8"/>
      <c r="I120" s="61"/>
    </row>
    <row r="121" spans="8:9" ht="15">
      <c r="H121" s="8"/>
      <c r="I121" s="61"/>
    </row>
    <row r="122" spans="8:9" ht="15">
      <c r="H122" s="8"/>
      <c r="I122" s="61"/>
    </row>
    <row r="123" spans="8:9" ht="15">
      <c r="H123" s="8"/>
      <c r="I123" s="61"/>
    </row>
    <row r="124" spans="8:9" ht="15">
      <c r="H124" s="8"/>
      <c r="I124" s="61"/>
    </row>
    <row r="125" spans="8:9" ht="15">
      <c r="H125" s="8"/>
      <c r="I125" s="61"/>
    </row>
    <row r="126" spans="8:9" ht="15">
      <c r="H126" s="8"/>
      <c r="I126" s="61"/>
    </row>
    <row r="127" spans="8:9" ht="15">
      <c r="H127" s="8"/>
      <c r="I127" s="61"/>
    </row>
    <row r="128" spans="8:9" ht="15">
      <c r="H128" s="8"/>
      <c r="I128" s="61"/>
    </row>
    <row r="129" spans="8:9" ht="15">
      <c r="H129" s="8"/>
      <c r="I129" s="61"/>
    </row>
    <row r="130" spans="8:9" ht="15">
      <c r="H130" s="8"/>
      <c r="I130" s="61"/>
    </row>
    <row r="131" spans="8:9" ht="15">
      <c r="H131" s="8"/>
      <c r="I131" s="61"/>
    </row>
    <row r="132" spans="8:9" ht="15">
      <c r="H132" s="8"/>
      <c r="I132" s="61"/>
    </row>
    <row r="133" spans="8:9" ht="15">
      <c r="H133" s="8"/>
      <c r="I133" s="61"/>
    </row>
    <row r="134" spans="8:9" ht="15">
      <c r="H134" s="8"/>
      <c r="I134" s="61"/>
    </row>
    <row r="135" spans="8:9" ht="15">
      <c r="H135" s="8"/>
      <c r="I135" s="61"/>
    </row>
    <row r="136" spans="8:9" ht="15">
      <c r="H136" s="8"/>
      <c r="I136" s="61"/>
    </row>
    <row r="137" spans="8:9" ht="15">
      <c r="H137" s="8"/>
      <c r="I137" s="61"/>
    </row>
    <row r="138" spans="8:9" ht="15">
      <c r="H138" s="8"/>
      <c r="I138" s="61"/>
    </row>
    <row r="139" spans="8:9" ht="15">
      <c r="H139" s="8"/>
      <c r="I139" s="61"/>
    </row>
    <row r="140" spans="8:9" ht="15">
      <c r="H140" s="8"/>
      <c r="I140" s="61"/>
    </row>
    <row r="141" spans="8:9" ht="15">
      <c r="H141" s="8"/>
      <c r="I141" s="61"/>
    </row>
    <row r="142" spans="8:9" ht="15">
      <c r="H142" s="8"/>
      <c r="I142" s="61"/>
    </row>
    <row r="143" spans="8:9" ht="15">
      <c r="H143" s="8"/>
      <c r="I143" s="61"/>
    </row>
    <row r="144" spans="8:9" ht="15">
      <c r="H144" s="8"/>
      <c r="I144" s="61"/>
    </row>
    <row r="145" spans="8:9" ht="15">
      <c r="H145" s="8"/>
      <c r="I145" s="61"/>
    </row>
    <row r="146" spans="8:9" ht="15">
      <c r="H146" s="8"/>
      <c r="I146" s="61"/>
    </row>
    <row r="147" spans="8:9" ht="15">
      <c r="H147" s="8"/>
      <c r="I147" s="61"/>
    </row>
    <row r="148" spans="8:9" ht="15">
      <c r="H148" s="8"/>
      <c r="I148" s="61"/>
    </row>
    <row r="149" spans="8:9" ht="15">
      <c r="H149" s="8"/>
      <c r="I149" s="61"/>
    </row>
    <row r="150" spans="8:9" ht="15">
      <c r="H150" s="8"/>
      <c r="I150" s="61"/>
    </row>
    <row r="151" spans="8:9" ht="15">
      <c r="H151" s="8"/>
      <c r="I151" s="61"/>
    </row>
    <row r="152" spans="8:9" ht="15">
      <c r="H152" s="8"/>
      <c r="I152" s="61"/>
    </row>
    <row r="153" spans="8:9" ht="15">
      <c r="H153" s="8"/>
      <c r="I153" s="61"/>
    </row>
    <row r="154" spans="8:9" ht="15">
      <c r="H154" s="8"/>
      <c r="I154" s="61"/>
    </row>
    <row r="155" spans="8:9" ht="15">
      <c r="H155" s="8"/>
      <c r="I155" s="61"/>
    </row>
    <row r="156" spans="8:9" ht="15">
      <c r="H156" s="8"/>
      <c r="I156" s="61"/>
    </row>
    <row r="157" spans="8:9" ht="15">
      <c r="H157" s="8"/>
      <c r="I157" s="61"/>
    </row>
    <row r="158" spans="8:9" ht="15">
      <c r="H158" s="8"/>
      <c r="I158" s="61"/>
    </row>
    <row r="159" spans="8:9" ht="15">
      <c r="H159" s="8"/>
      <c r="I159" s="61"/>
    </row>
    <row r="160" spans="8:9" ht="15">
      <c r="H160" s="8"/>
      <c r="I160" s="61"/>
    </row>
    <row r="161" spans="8:9" ht="15">
      <c r="H161" s="8"/>
      <c r="I161" s="61"/>
    </row>
    <row r="162" spans="8:9" ht="15">
      <c r="H162" s="8"/>
      <c r="I162" s="61"/>
    </row>
    <row r="163" spans="8:9" ht="15">
      <c r="H163" s="8"/>
      <c r="I163" s="61"/>
    </row>
    <row r="164" spans="8:9" ht="15">
      <c r="H164" s="8"/>
      <c r="I164" s="61"/>
    </row>
    <row r="165" spans="8:9" ht="15">
      <c r="H165" s="8"/>
      <c r="I165" s="61"/>
    </row>
    <row r="166" spans="8:9" ht="15">
      <c r="H166" s="8"/>
      <c r="I166" s="61"/>
    </row>
    <row r="167" spans="8:9" ht="15">
      <c r="H167" s="8"/>
      <c r="I167" s="61"/>
    </row>
    <row r="168" spans="8:9" ht="15">
      <c r="H168" s="8"/>
      <c r="I168" s="61"/>
    </row>
    <row r="169" spans="8:9" ht="15">
      <c r="H169" s="8"/>
      <c r="I169" s="61"/>
    </row>
    <row r="170" spans="8:9" ht="15">
      <c r="H170" s="8"/>
      <c r="I170" s="61"/>
    </row>
    <row r="171" spans="8:9" ht="15">
      <c r="H171" s="8"/>
      <c r="I171" s="61"/>
    </row>
    <row r="172" spans="8:9" ht="15">
      <c r="H172" s="8"/>
      <c r="I172" s="61"/>
    </row>
    <row r="173" spans="8:9" ht="15">
      <c r="H173" s="8"/>
      <c r="I173" s="61"/>
    </row>
    <row r="174" spans="8:9" ht="15">
      <c r="H174" s="8"/>
      <c r="I174" s="61"/>
    </row>
    <row r="175" spans="8:9" ht="15">
      <c r="H175" s="8"/>
      <c r="I175" s="61"/>
    </row>
    <row r="176" spans="8:9" ht="15">
      <c r="H176" s="8"/>
      <c r="I176" s="61"/>
    </row>
    <row r="177" spans="8:9" ht="15">
      <c r="H177" s="8"/>
      <c r="I177" s="61"/>
    </row>
    <row r="178" spans="8:9" ht="15">
      <c r="H178" s="8"/>
      <c r="I178" s="61"/>
    </row>
    <row r="179" spans="8:9" ht="15">
      <c r="H179" s="8"/>
      <c r="I179" s="61"/>
    </row>
    <row r="180" spans="8:9" ht="15">
      <c r="H180" s="8"/>
      <c r="I180" s="61"/>
    </row>
    <row r="181" spans="8:9" ht="15">
      <c r="H181" s="8"/>
      <c r="I181" s="61"/>
    </row>
    <row r="182" spans="8:9" ht="15">
      <c r="H182" s="8"/>
      <c r="I182" s="61"/>
    </row>
    <row r="183" spans="8:9" ht="15">
      <c r="H183" s="8"/>
      <c r="I183" s="61"/>
    </row>
    <row r="184" spans="8:9" ht="15">
      <c r="H184" s="8"/>
      <c r="I184" s="61"/>
    </row>
    <row r="185" spans="8:9" ht="15">
      <c r="H185" s="8"/>
      <c r="I185" s="61"/>
    </row>
    <row r="186" spans="8:9" ht="15">
      <c r="H186" s="8"/>
      <c r="I186" s="61"/>
    </row>
    <row r="187" spans="8:9" ht="15">
      <c r="H187" s="8"/>
      <c r="I187" s="61"/>
    </row>
    <row r="188" spans="8:9" ht="15">
      <c r="H188" s="8"/>
      <c r="I188" s="61"/>
    </row>
    <row r="189" spans="8:9" ht="15">
      <c r="H189" s="8"/>
      <c r="I189" s="61"/>
    </row>
    <row r="190" spans="8:9" ht="15">
      <c r="H190" s="8"/>
      <c r="I190" s="61"/>
    </row>
    <row r="191" spans="8:9" ht="15">
      <c r="H191" s="8"/>
      <c r="I191" s="61"/>
    </row>
    <row r="192" spans="8:9" ht="15">
      <c r="H192" s="8"/>
      <c r="I192" s="61"/>
    </row>
    <row r="193" spans="8:9" ht="15">
      <c r="H193" s="8"/>
      <c r="I193" s="61"/>
    </row>
    <row r="194" spans="8:9" ht="15">
      <c r="H194" s="8"/>
      <c r="I194" s="61"/>
    </row>
    <row r="195" spans="8:9" ht="15">
      <c r="H195" s="8"/>
      <c r="I195" s="61"/>
    </row>
    <row r="196" spans="8:9" ht="15">
      <c r="H196" s="8"/>
      <c r="I196" s="61"/>
    </row>
    <row r="197" spans="8:9" ht="15">
      <c r="H197" s="8"/>
      <c r="I197" s="61"/>
    </row>
    <row r="198" spans="8:9" ht="15">
      <c r="H198" s="8"/>
      <c r="I198" s="61"/>
    </row>
    <row r="199" spans="8:9" ht="15">
      <c r="H199" s="8"/>
      <c r="I199" s="61"/>
    </row>
    <row r="200" spans="8:9" ht="15">
      <c r="H200" s="8"/>
      <c r="I200" s="61"/>
    </row>
    <row r="201" spans="8:9" ht="15">
      <c r="H201" s="8"/>
      <c r="I201" s="61"/>
    </row>
    <row r="202" spans="8:9" ht="15">
      <c r="H202" s="8"/>
      <c r="I202" s="61"/>
    </row>
    <row r="203" spans="8:9" ht="15">
      <c r="H203" s="8"/>
      <c r="I203" s="61"/>
    </row>
    <row r="204" spans="8:9" ht="15">
      <c r="H204" s="8"/>
      <c r="I204" s="61"/>
    </row>
    <row r="205" spans="8:9" ht="15">
      <c r="H205" s="8"/>
      <c r="I205" s="61"/>
    </row>
    <row r="206" spans="8:9" ht="15">
      <c r="H206" s="8"/>
      <c r="I206" s="61"/>
    </row>
    <row r="207" spans="8:9" ht="15">
      <c r="H207" s="8"/>
      <c r="I207" s="61"/>
    </row>
    <row r="208" spans="8:9" ht="15">
      <c r="H208" s="8"/>
      <c r="I208" s="61"/>
    </row>
    <row r="209" spans="8:9" ht="15">
      <c r="H209" s="8"/>
      <c r="I209" s="61"/>
    </row>
    <row r="210" spans="8:9" ht="15">
      <c r="H210" s="8"/>
      <c r="I210" s="61"/>
    </row>
    <row r="211" spans="8:9" ht="15">
      <c r="H211" s="8"/>
      <c r="I211" s="61"/>
    </row>
    <row r="212" spans="8:9" ht="15">
      <c r="H212" s="8"/>
      <c r="I212" s="61"/>
    </row>
    <row r="213" spans="8:9" ht="15">
      <c r="H213" s="8"/>
      <c r="I213" s="61"/>
    </row>
    <row r="214" spans="8:9" ht="15">
      <c r="H214" s="8"/>
      <c r="I214" s="61"/>
    </row>
    <row r="215" spans="8:9" ht="15">
      <c r="H215" s="8"/>
      <c r="I215" s="61"/>
    </row>
    <row r="216" spans="8:9" ht="15">
      <c r="H216" s="8"/>
      <c r="I216" s="61"/>
    </row>
    <row r="217" spans="8:9" ht="15">
      <c r="H217" s="8"/>
      <c r="I217" s="61"/>
    </row>
    <row r="218" spans="8:9" ht="15">
      <c r="H218" s="8"/>
      <c r="I218" s="61"/>
    </row>
    <row r="219" spans="8:9" ht="15">
      <c r="H219" s="8"/>
      <c r="I219" s="61"/>
    </row>
    <row r="220" spans="8:9" ht="15">
      <c r="H220" s="8"/>
      <c r="I220" s="61"/>
    </row>
    <row r="221" spans="8:9" ht="15">
      <c r="H221" s="8"/>
      <c r="I221" s="61"/>
    </row>
    <row r="222" spans="8:9" ht="15">
      <c r="H222" s="8"/>
      <c r="I222" s="61"/>
    </row>
    <row r="223" spans="8:9" ht="15">
      <c r="H223" s="8"/>
      <c r="I223" s="61"/>
    </row>
    <row r="224" spans="8:9" ht="15">
      <c r="H224" s="8"/>
      <c r="I224" s="61"/>
    </row>
    <row r="225" spans="8:9" ht="15">
      <c r="H225" s="8"/>
      <c r="I225" s="61"/>
    </row>
    <row r="226" spans="8:9" ht="15">
      <c r="H226" s="8"/>
      <c r="I226" s="61"/>
    </row>
    <row r="227" spans="8:9" ht="15">
      <c r="H227" s="8"/>
      <c r="I227" s="61"/>
    </row>
    <row r="228" spans="8:9" ht="15">
      <c r="H228" s="8"/>
      <c r="I228" s="61"/>
    </row>
    <row r="229" spans="8:9" ht="15">
      <c r="H229" s="8"/>
      <c r="I229" s="61"/>
    </row>
    <row r="230" spans="8:9" ht="15">
      <c r="H230" s="8"/>
      <c r="I230" s="61"/>
    </row>
    <row r="231" spans="8:9" ht="15">
      <c r="H231" s="8"/>
      <c r="I231" s="61"/>
    </row>
    <row r="232" spans="8:9" ht="15">
      <c r="H232" s="8"/>
      <c r="I232" s="61"/>
    </row>
    <row r="233" spans="8:9" ht="15">
      <c r="H233" s="8"/>
      <c r="I233" s="61"/>
    </row>
    <row r="234" spans="8:9" ht="15">
      <c r="H234" s="8"/>
      <c r="I234" s="61"/>
    </row>
    <row r="235" spans="8:9" ht="15">
      <c r="H235" s="8"/>
      <c r="I235" s="61"/>
    </row>
    <row r="236" spans="8:9" ht="15">
      <c r="H236" s="8"/>
      <c r="I236" s="61"/>
    </row>
    <row r="237" spans="8:9" ht="15">
      <c r="H237" s="8"/>
      <c r="I237" s="61"/>
    </row>
    <row r="238" spans="8:9" ht="15">
      <c r="H238" s="8"/>
      <c r="I238" s="61"/>
    </row>
    <row r="239" spans="8:9" ht="15">
      <c r="H239" s="8"/>
      <c r="I239" s="61"/>
    </row>
    <row r="240" spans="8:9" ht="15">
      <c r="H240" s="8"/>
      <c r="I240" s="61"/>
    </row>
    <row r="241" spans="8:9" ht="15">
      <c r="H241" s="8"/>
      <c r="I241" s="61"/>
    </row>
    <row r="242" spans="8:9" ht="15">
      <c r="H242" s="8"/>
      <c r="I242" s="61"/>
    </row>
    <row r="243" spans="8:9" ht="15">
      <c r="H243" s="8"/>
      <c r="I243" s="61"/>
    </row>
    <row r="244" spans="8:9" ht="15">
      <c r="H244" s="8"/>
      <c r="I244" s="61"/>
    </row>
    <row r="245" spans="8:9" ht="15">
      <c r="H245" s="8"/>
      <c r="I245" s="61"/>
    </row>
    <row r="246" spans="8:9" ht="15">
      <c r="H246" s="8"/>
      <c r="I246" s="61"/>
    </row>
    <row r="247" spans="8:9" ht="15">
      <c r="H247" s="8"/>
      <c r="I247" s="61"/>
    </row>
    <row r="248" spans="8:9" ht="15">
      <c r="H248" s="8"/>
      <c r="I248" s="61"/>
    </row>
    <row r="249" spans="8:9" ht="15">
      <c r="H249" s="8"/>
      <c r="I249" s="61"/>
    </row>
    <row r="250" spans="8:9" ht="15">
      <c r="H250" s="8"/>
      <c r="I250" s="61"/>
    </row>
    <row r="251" spans="8:9" ht="15">
      <c r="H251" s="8"/>
      <c r="I251" s="61"/>
    </row>
    <row r="252" spans="8:9" ht="15">
      <c r="H252" s="8"/>
      <c r="I252" s="61"/>
    </row>
    <row r="253" spans="8:9" ht="15">
      <c r="H253" s="8"/>
      <c r="I253" s="61"/>
    </row>
    <row r="254" spans="8:9" ht="15">
      <c r="H254" s="8"/>
      <c r="I254" s="61"/>
    </row>
    <row r="255" spans="8:9" ht="15">
      <c r="H255" s="8"/>
      <c r="I255" s="61"/>
    </row>
    <row r="256" spans="8:9" ht="15">
      <c r="H256" s="8"/>
      <c r="I256" s="61"/>
    </row>
    <row r="257" spans="8:9" ht="15">
      <c r="H257" s="8"/>
      <c r="I257" s="61"/>
    </row>
    <row r="258" spans="8:9" ht="15">
      <c r="H258" s="8"/>
      <c r="I258" s="61"/>
    </row>
    <row r="259" spans="8:9" ht="15">
      <c r="H259" s="8"/>
      <c r="I259" s="61"/>
    </row>
    <row r="260" spans="8:9" ht="15">
      <c r="H260" s="8"/>
      <c r="I260" s="61"/>
    </row>
    <row r="261" spans="8:9" ht="15">
      <c r="H261" s="8"/>
      <c r="I261" s="61"/>
    </row>
    <row r="262" spans="8:9" ht="15">
      <c r="H262" s="8"/>
      <c r="I262" s="61"/>
    </row>
    <row r="263" spans="8:9" ht="15">
      <c r="H263" s="8"/>
      <c r="I263" s="61"/>
    </row>
    <row r="264" spans="8:9" ht="15">
      <c r="H264" s="8"/>
      <c r="I264" s="61"/>
    </row>
    <row r="265" spans="8:9" ht="15">
      <c r="H265" s="8"/>
      <c r="I265" s="61"/>
    </row>
    <row r="266" spans="8:9" ht="15">
      <c r="H266" s="8"/>
      <c r="I266" s="61"/>
    </row>
    <row r="267" spans="8:9" ht="15">
      <c r="H267" s="8"/>
      <c r="I267" s="61"/>
    </row>
    <row r="268" spans="8:9" ht="15">
      <c r="H268" s="8"/>
      <c r="I268" s="61"/>
    </row>
    <row r="269" spans="8:9" ht="15">
      <c r="H269" s="8"/>
      <c r="I269" s="61"/>
    </row>
    <row r="270" spans="8:9" ht="15">
      <c r="H270" s="8"/>
      <c r="I270" s="61"/>
    </row>
    <row r="271" spans="8:9" ht="15">
      <c r="H271" s="8"/>
      <c r="I271" s="61"/>
    </row>
    <row r="272" spans="8:9" ht="15">
      <c r="H272" s="8"/>
      <c r="I272" s="61"/>
    </row>
    <row r="273" spans="8:9" ht="15">
      <c r="H273" s="8"/>
      <c r="I273" s="61"/>
    </row>
    <row r="274" spans="8:9" ht="15">
      <c r="H274" s="8"/>
      <c r="I274" s="61"/>
    </row>
    <row r="275" spans="8:9" ht="15">
      <c r="H275" s="8"/>
      <c r="I275" s="61"/>
    </row>
    <row r="276" spans="8:9" ht="15">
      <c r="H276" s="8"/>
      <c r="I276" s="61"/>
    </row>
    <row r="277" spans="8:9" ht="15">
      <c r="H277" s="8"/>
      <c r="I277" s="61"/>
    </row>
    <row r="278" spans="8:9" ht="15">
      <c r="H278" s="8"/>
      <c r="I278" s="61"/>
    </row>
    <row r="279" spans="8:9" ht="15">
      <c r="H279" s="8"/>
      <c r="I279" s="61"/>
    </row>
    <row r="280" spans="8:9" ht="15">
      <c r="H280" s="8"/>
      <c r="I280" s="61"/>
    </row>
    <row r="281" spans="8:9" ht="15">
      <c r="H281" s="8"/>
      <c r="I281" s="61"/>
    </row>
    <row r="282" spans="8:9" ht="15">
      <c r="H282" s="8"/>
      <c r="I282" s="61"/>
    </row>
    <row r="283" spans="8:9" ht="15">
      <c r="H283" s="8"/>
      <c r="I283" s="61"/>
    </row>
    <row r="284" spans="8:9" ht="15">
      <c r="H284" s="8"/>
      <c r="I284" s="61"/>
    </row>
    <row r="285" spans="8:9" ht="15">
      <c r="H285" s="8"/>
      <c r="I285" s="61"/>
    </row>
    <row r="286" spans="8:9" ht="15">
      <c r="H286" s="8"/>
      <c r="I286" s="61"/>
    </row>
    <row r="287" spans="8:9" ht="15">
      <c r="H287" s="8"/>
      <c r="I287" s="61"/>
    </row>
    <row r="288" spans="8:9" ht="15">
      <c r="H288" s="8"/>
      <c r="I288" s="61"/>
    </row>
    <row r="289" spans="8:9" ht="15">
      <c r="H289" s="8"/>
      <c r="I289" s="61"/>
    </row>
    <row r="290" spans="8:9" ht="15">
      <c r="H290" s="8"/>
      <c r="I290" s="61"/>
    </row>
    <row r="291" spans="8:9" ht="15">
      <c r="H291" s="8"/>
      <c r="I291" s="61"/>
    </row>
    <row r="292" spans="8:9" ht="15">
      <c r="H292" s="8"/>
      <c r="I292" s="61"/>
    </row>
    <row r="293" spans="8:9" ht="15">
      <c r="H293" s="8"/>
      <c r="I293" s="61"/>
    </row>
    <row r="294" spans="8:9" ht="15">
      <c r="H294" s="8"/>
      <c r="I294" s="61"/>
    </row>
    <row r="295" spans="8:9" ht="15">
      <c r="H295" s="8"/>
      <c r="I295" s="61"/>
    </row>
    <row r="296" spans="8:9" ht="15">
      <c r="H296" s="8"/>
      <c r="I296" s="61"/>
    </row>
    <row r="297" spans="8:9" ht="15">
      <c r="H297" s="8"/>
      <c r="I297" s="61"/>
    </row>
    <row r="298" spans="8:9" ht="15">
      <c r="H298" s="8"/>
      <c r="I298" s="61"/>
    </row>
    <row r="299" spans="8:9" ht="15">
      <c r="H299" s="8"/>
      <c r="I299" s="61"/>
    </row>
    <row r="300" spans="8:9" ht="15">
      <c r="H300" s="8"/>
      <c r="I300" s="61"/>
    </row>
    <row r="301" spans="8:9" ht="15">
      <c r="H301" s="8"/>
      <c r="I301" s="61"/>
    </row>
    <row r="302" spans="8:9" ht="15">
      <c r="H302" s="8"/>
      <c r="I302" s="61"/>
    </row>
    <row r="303" spans="8:9" ht="15">
      <c r="H303" s="8"/>
      <c r="I303" s="61"/>
    </row>
    <row r="304" spans="8:9" ht="15">
      <c r="H304" s="8"/>
      <c r="I304" s="61"/>
    </row>
    <row r="305" spans="8:9" ht="15">
      <c r="H305" s="8"/>
      <c r="I305" s="61"/>
    </row>
    <row r="306" spans="8:9" ht="15">
      <c r="H306" s="8"/>
      <c r="I306" s="61"/>
    </row>
    <row r="307" spans="8:9" ht="15">
      <c r="H307" s="8"/>
      <c r="I307" s="61"/>
    </row>
    <row r="308" spans="8:9" ht="15">
      <c r="H308" s="8"/>
      <c r="I308" s="61"/>
    </row>
    <row r="309" spans="8:9" ht="15">
      <c r="H309" s="8"/>
      <c r="I309" s="61"/>
    </row>
    <row r="310" spans="8:9" ht="15">
      <c r="H310" s="8"/>
      <c r="I310" s="61"/>
    </row>
    <row r="311" spans="8:9" ht="15">
      <c r="H311" s="8"/>
      <c r="I311" s="61"/>
    </row>
    <row r="312" spans="8:9" ht="15">
      <c r="H312" s="8"/>
      <c r="I312" s="61"/>
    </row>
    <row r="313" spans="8:9" ht="15">
      <c r="H313" s="8"/>
      <c r="I313" s="61"/>
    </row>
    <row r="314" spans="8:9" ht="15">
      <c r="H314" s="8"/>
      <c r="I314" s="61"/>
    </row>
    <row r="315" spans="8:9" ht="15">
      <c r="H315" s="8"/>
      <c r="I315" s="61"/>
    </row>
    <row r="316" spans="8:9" ht="15">
      <c r="H316" s="8"/>
      <c r="I316" s="61"/>
    </row>
    <row r="317" spans="8:9" ht="15">
      <c r="H317" s="8"/>
      <c r="I317" s="61"/>
    </row>
    <row r="318" spans="8:9" ht="15">
      <c r="H318" s="8"/>
      <c r="I318" s="61"/>
    </row>
    <row r="319" spans="8:9" ht="15">
      <c r="H319" s="8"/>
      <c r="I319" s="61"/>
    </row>
    <row r="320" spans="8:9" ht="15">
      <c r="H320" s="8"/>
      <c r="I320" s="61"/>
    </row>
    <row r="321" spans="8:9" ht="15">
      <c r="H321" s="8"/>
      <c r="I321" s="61"/>
    </row>
    <row r="322" spans="8:9" ht="15">
      <c r="H322" s="8"/>
      <c r="I322" s="61"/>
    </row>
    <row r="323" spans="8:9" ht="15">
      <c r="H323" s="8"/>
      <c r="I323" s="61"/>
    </row>
    <row r="324" spans="8:9" ht="15">
      <c r="H324" s="8"/>
      <c r="I324" s="61"/>
    </row>
    <row r="325" spans="8:9" ht="15">
      <c r="H325" s="8"/>
      <c r="I325" s="61"/>
    </row>
    <row r="326" spans="8:9" ht="15">
      <c r="H326" s="8"/>
      <c r="I326" s="61"/>
    </row>
    <row r="327" spans="8:9" ht="15">
      <c r="H327" s="8"/>
      <c r="I327" s="61"/>
    </row>
    <row r="328" spans="8:9" ht="15">
      <c r="H328" s="8"/>
      <c r="I328" s="61"/>
    </row>
    <row r="329" spans="8:9" ht="15">
      <c r="H329" s="8"/>
      <c r="I329" s="61"/>
    </row>
    <row r="330" spans="8:9" ht="15">
      <c r="H330" s="8"/>
      <c r="I330" s="61"/>
    </row>
    <row r="331" spans="8:9" ht="15">
      <c r="H331" s="8"/>
      <c r="I331" s="61"/>
    </row>
    <row r="332" spans="8:9" ht="15">
      <c r="H332" s="8"/>
      <c r="I332" s="61"/>
    </row>
    <row r="333" spans="8:9" ht="15">
      <c r="H333" s="8"/>
      <c r="I333" s="61"/>
    </row>
    <row r="334" spans="8:9" ht="15">
      <c r="H334" s="8"/>
      <c r="I334" s="61"/>
    </row>
    <row r="335" spans="8:9" ht="15">
      <c r="H335" s="8"/>
      <c r="I335" s="61"/>
    </row>
    <row r="336" spans="8:9" ht="15">
      <c r="H336" s="8"/>
      <c r="I336" s="61"/>
    </row>
    <row r="337" spans="8:9" ht="15">
      <c r="H337" s="8"/>
      <c r="I337" s="61"/>
    </row>
    <row r="338" spans="8:9" ht="15">
      <c r="H338" s="8"/>
      <c r="I338" s="61"/>
    </row>
    <row r="339" spans="8:9" ht="15">
      <c r="H339" s="8"/>
      <c r="I339" s="61"/>
    </row>
    <row r="340" spans="8:9" ht="15">
      <c r="H340" s="8"/>
      <c r="I340" s="61"/>
    </row>
    <row r="341" spans="8:9" ht="15">
      <c r="H341" s="8"/>
      <c r="I341" s="61"/>
    </row>
    <row r="342" spans="8:9" ht="15">
      <c r="H342" s="8"/>
      <c r="I342" s="61"/>
    </row>
    <row r="343" spans="8:9" ht="15">
      <c r="H343" s="8"/>
      <c r="I343" s="61"/>
    </row>
    <row r="344" spans="8:9" ht="15">
      <c r="H344" s="8"/>
      <c r="I344" s="61"/>
    </row>
    <row r="345" spans="8:9" ht="15">
      <c r="H345" s="8"/>
      <c r="I345" s="61"/>
    </row>
    <row r="346" spans="8:9" ht="15">
      <c r="H346" s="8"/>
      <c r="I346" s="61"/>
    </row>
    <row r="347" spans="8:9" ht="15">
      <c r="H347" s="8"/>
      <c r="I347" s="61"/>
    </row>
    <row r="348" spans="8:9" ht="15">
      <c r="H348" s="8"/>
      <c r="I348" s="61"/>
    </row>
    <row r="349" spans="8:9" ht="15">
      <c r="H349" s="8"/>
      <c r="I349" s="61"/>
    </row>
    <row r="350" spans="8:9" ht="15">
      <c r="H350" s="8"/>
      <c r="I350" s="61"/>
    </row>
    <row r="351" spans="8:9" ht="15">
      <c r="H351" s="8"/>
      <c r="I351" s="61"/>
    </row>
    <row r="352" spans="8:9" ht="15">
      <c r="H352" s="8"/>
      <c r="I352" s="61"/>
    </row>
    <row r="353" spans="8:9" ht="15">
      <c r="H353" s="8"/>
      <c r="I353" s="61"/>
    </row>
    <row r="354" spans="8:9" ht="15">
      <c r="H354" s="8"/>
      <c r="I354" s="61"/>
    </row>
    <row r="355" spans="8:9" ht="15">
      <c r="H355" s="8"/>
      <c r="I355" s="61"/>
    </row>
    <row r="356" spans="8:9" ht="15">
      <c r="H356" s="8"/>
      <c r="I356" s="61"/>
    </row>
    <row r="357" spans="8:9" ht="15">
      <c r="H357" s="8"/>
      <c r="I357" s="61"/>
    </row>
    <row r="358" spans="8:9" ht="15">
      <c r="H358" s="8"/>
      <c r="I358" s="61"/>
    </row>
    <row r="359" spans="8:9" ht="15">
      <c r="H359" s="8"/>
      <c r="I359" s="61"/>
    </row>
    <row r="360" spans="8:9" ht="15">
      <c r="H360" s="8"/>
      <c r="I360" s="61"/>
    </row>
    <row r="361" spans="8:9" ht="15">
      <c r="H361" s="8"/>
      <c r="I361" s="61"/>
    </row>
    <row r="362" spans="8:9" ht="15">
      <c r="H362" s="8"/>
      <c r="I362" s="61"/>
    </row>
    <row r="363" spans="8:9" ht="15">
      <c r="H363" s="8"/>
      <c r="I363" s="61"/>
    </row>
    <row r="364" spans="8:9" ht="15">
      <c r="H364" s="8"/>
      <c r="I364" s="61"/>
    </row>
    <row r="365" spans="8:9" ht="15">
      <c r="H365" s="8"/>
      <c r="I365" s="61"/>
    </row>
    <row r="366" spans="8:9" ht="15">
      <c r="H366" s="8"/>
      <c r="I366" s="61"/>
    </row>
    <row r="367" spans="8:9" ht="15">
      <c r="H367" s="8"/>
      <c r="I367" s="61"/>
    </row>
    <row r="368" spans="8:9" ht="15">
      <c r="H368" s="8"/>
      <c r="I368" s="61"/>
    </row>
    <row r="369" spans="8:9" ht="15">
      <c r="H369" s="8"/>
      <c r="I369" s="61"/>
    </row>
    <row r="370" spans="8:9" ht="15">
      <c r="H370" s="8"/>
      <c r="I370" s="61"/>
    </row>
    <row r="371" spans="8:9" ht="15">
      <c r="H371" s="8"/>
      <c r="I371" s="61"/>
    </row>
    <row r="372" spans="8:9" ht="15">
      <c r="H372" s="8"/>
      <c r="I372" s="61"/>
    </row>
    <row r="373" spans="8:9" ht="15">
      <c r="H373" s="8"/>
      <c r="I373" s="61"/>
    </row>
    <row r="374" spans="8:9" ht="15">
      <c r="H374" s="8"/>
      <c r="I374" s="61"/>
    </row>
    <row r="375" spans="8:9" ht="15">
      <c r="H375" s="8"/>
      <c r="I375" s="61"/>
    </row>
    <row r="376" spans="8:9" ht="15">
      <c r="H376" s="8"/>
      <c r="I376" s="61"/>
    </row>
    <row r="377" spans="8:9" ht="15">
      <c r="H377" s="8"/>
      <c r="I377" s="61"/>
    </row>
    <row r="378" spans="8:9" ht="15">
      <c r="H378" s="8"/>
      <c r="I378" s="61"/>
    </row>
    <row r="379" spans="8:9" ht="15">
      <c r="H379" s="8"/>
      <c r="I379" s="61"/>
    </row>
    <row r="380" spans="8:9" ht="15">
      <c r="H380" s="8"/>
      <c r="I380" s="61"/>
    </row>
    <row r="381" spans="8:9" ht="15">
      <c r="H381" s="8"/>
      <c r="I381" s="61"/>
    </row>
    <row r="382" spans="8:9" ht="15">
      <c r="H382" s="8"/>
      <c r="I382" s="61"/>
    </row>
    <row r="383" spans="8:9" ht="15">
      <c r="H383" s="8"/>
      <c r="I383" s="61"/>
    </row>
    <row r="384" spans="8:9" ht="15">
      <c r="H384" s="8"/>
      <c r="I384" s="61"/>
    </row>
    <row r="385" spans="8:9" ht="15">
      <c r="H385" s="8"/>
      <c r="I385" s="61"/>
    </row>
    <row r="386" spans="8:9" ht="15">
      <c r="H386" s="8"/>
      <c r="I386" s="61"/>
    </row>
    <row r="387" spans="8:9" ht="15">
      <c r="H387" s="8"/>
      <c r="I387" s="61"/>
    </row>
    <row r="388" spans="8:9" ht="15">
      <c r="H388" s="8"/>
      <c r="I388" s="61"/>
    </row>
    <row r="389" spans="8:9" ht="15">
      <c r="H389" s="8"/>
      <c r="I389" s="61"/>
    </row>
    <row r="390" spans="8:9" ht="15">
      <c r="H390" s="8"/>
      <c r="I390" s="61"/>
    </row>
    <row r="391" spans="8:9" ht="15">
      <c r="H391" s="8"/>
      <c r="I391" s="61"/>
    </row>
    <row r="392" spans="8:9" ht="15">
      <c r="H392" s="8"/>
      <c r="I392" s="61"/>
    </row>
    <row r="393" spans="8:9" ht="15">
      <c r="H393" s="8"/>
      <c r="I393" s="61"/>
    </row>
    <row r="394" spans="8:9" ht="15">
      <c r="H394" s="8"/>
      <c r="I394" s="61"/>
    </row>
    <row r="395" spans="8:9" ht="15">
      <c r="H395" s="8"/>
      <c r="I395" s="61"/>
    </row>
    <row r="396" spans="8:9" ht="15">
      <c r="H396" s="8"/>
      <c r="I396" s="61"/>
    </row>
    <row r="397" spans="8:9" ht="15">
      <c r="H397" s="8"/>
      <c r="I397" s="61"/>
    </row>
    <row r="398" spans="8:9" ht="15">
      <c r="H398" s="8"/>
      <c r="I398" s="61"/>
    </row>
    <row r="399" spans="8:9" ht="15">
      <c r="H399" s="8"/>
      <c r="I399" s="61"/>
    </row>
    <row r="400" spans="8:9" ht="15">
      <c r="H400" s="8"/>
      <c r="I400" s="61"/>
    </row>
    <row r="401" spans="8:9" ht="15">
      <c r="H401" s="8"/>
      <c r="I401" s="61"/>
    </row>
    <row r="402" spans="8:9" ht="15">
      <c r="H402" s="8"/>
      <c r="I402" s="61"/>
    </row>
    <row r="403" spans="8:9" ht="15">
      <c r="H403" s="8"/>
      <c r="I403" s="61"/>
    </row>
    <row r="404" spans="8:9" ht="15">
      <c r="H404" s="8"/>
      <c r="I404" s="61"/>
    </row>
    <row r="405" spans="8:9" ht="15">
      <c r="H405" s="8"/>
      <c r="I405" s="61"/>
    </row>
    <row r="406" spans="8:9" ht="15">
      <c r="H406" s="8"/>
      <c r="I406" s="61"/>
    </row>
    <row r="407" spans="8:9" ht="15">
      <c r="H407" s="8"/>
      <c r="I407" s="61"/>
    </row>
    <row r="408" spans="8:9" ht="15">
      <c r="H408" s="8"/>
      <c r="I408" s="61"/>
    </row>
    <row r="409" spans="8:9" ht="15">
      <c r="H409" s="8"/>
      <c r="I409" s="61"/>
    </row>
    <row r="410" spans="8:9" ht="15">
      <c r="H410" s="8"/>
      <c r="I410" s="61"/>
    </row>
    <row r="411" spans="8:9" ht="15">
      <c r="H411" s="8"/>
      <c r="I411" s="61"/>
    </row>
    <row r="412" spans="8:9" ht="15">
      <c r="H412" s="8"/>
      <c r="I412" s="61"/>
    </row>
    <row r="413" spans="8:9" ht="15">
      <c r="H413" s="8"/>
      <c r="I413" s="61"/>
    </row>
    <row r="414" spans="8:9" ht="15">
      <c r="H414" s="8"/>
      <c r="I414" s="61"/>
    </row>
    <row r="415" spans="8:9" ht="15">
      <c r="H415" s="8"/>
      <c r="I415" s="61"/>
    </row>
    <row r="416" spans="8:9" ht="15">
      <c r="H416" s="8"/>
      <c r="I416" s="61"/>
    </row>
    <row r="417" spans="8:9" ht="15">
      <c r="H417" s="8"/>
      <c r="I417" s="61"/>
    </row>
    <row r="418" spans="8:9" ht="15">
      <c r="H418" s="8"/>
      <c r="I418" s="61"/>
    </row>
    <row r="419" spans="8:9" ht="15">
      <c r="H419" s="8"/>
      <c r="I419" s="61"/>
    </row>
    <row r="420" spans="8:9" ht="15">
      <c r="H420" s="8"/>
      <c r="I420" s="61"/>
    </row>
    <row r="421" spans="8:9" ht="15">
      <c r="H421" s="8"/>
      <c r="I421" s="61"/>
    </row>
    <row r="422" spans="8:9" ht="15">
      <c r="H422" s="8"/>
      <c r="I422" s="61"/>
    </row>
    <row r="423" spans="8:9" ht="15">
      <c r="H423" s="8"/>
      <c r="I423" s="61"/>
    </row>
    <row r="424" spans="8:9" ht="15">
      <c r="H424" s="8"/>
      <c r="I424" s="61"/>
    </row>
    <row r="425" spans="8:9" ht="15">
      <c r="H425" s="8"/>
      <c r="I425" s="61"/>
    </row>
    <row r="426" spans="8:9" ht="15">
      <c r="H426" s="8"/>
      <c r="I426" s="61"/>
    </row>
    <row r="427" spans="8:9" ht="15">
      <c r="H427" s="8"/>
      <c r="I427" s="61"/>
    </row>
    <row r="428" spans="8:9" ht="15">
      <c r="H428" s="8"/>
      <c r="I428" s="61"/>
    </row>
    <row r="429" spans="8:9" ht="15">
      <c r="H429" s="8"/>
      <c r="I429" s="61"/>
    </row>
    <row r="430" spans="8:9" ht="15">
      <c r="H430" s="8"/>
      <c r="I430" s="61"/>
    </row>
    <row r="431" spans="8:9" ht="15">
      <c r="H431" s="8"/>
      <c r="I431" s="61"/>
    </row>
    <row r="432" spans="8:9" ht="15">
      <c r="H432" s="8"/>
      <c r="I432" s="61"/>
    </row>
    <row r="433" spans="8:9" ht="15">
      <c r="H433" s="8"/>
      <c r="I433" s="61"/>
    </row>
    <row r="434" spans="8:9" ht="15">
      <c r="H434" s="8"/>
      <c r="I434" s="61"/>
    </row>
    <row r="435" spans="8:9" ht="15">
      <c r="H435" s="8"/>
      <c r="I435" s="61"/>
    </row>
    <row r="436" spans="8:9" ht="15">
      <c r="H436" s="8"/>
      <c r="I436" s="61"/>
    </row>
    <row r="437" spans="8:9" ht="15">
      <c r="H437" s="8"/>
      <c r="I437" s="61"/>
    </row>
    <row r="438" spans="8:9" ht="15">
      <c r="H438" s="8"/>
      <c r="I438" s="61"/>
    </row>
    <row r="439" spans="8:9" ht="15">
      <c r="H439" s="8"/>
      <c r="I439" s="61"/>
    </row>
    <row r="440" spans="8:9" ht="15">
      <c r="H440" s="8"/>
      <c r="I440" s="61"/>
    </row>
    <row r="441" spans="8:9" ht="15">
      <c r="H441" s="8"/>
      <c r="I441" s="61"/>
    </row>
    <row r="442" spans="8:9" ht="15">
      <c r="H442" s="8"/>
      <c r="I442" s="61"/>
    </row>
    <row r="443" spans="8:9" ht="15">
      <c r="H443" s="8"/>
      <c r="I443" s="61"/>
    </row>
    <row r="444" spans="8:9" ht="15">
      <c r="H444" s="8"/>
      <c r="I444" s="61"/>
    </row>
    <row r="445" spans="8:9" ht="15">
      <c r="H445" s="8"/>
      <c r="I445" s="61"/>
    </row>
    <row r="446" spans="8:9" ht="15">
      <c r="H446" s="8"/>
      <c r="I446" s="61"/>
    </row>
    <row r="447" spans="8:9" ht="15">
      <c r="H447" s="8"/>
      <c r="I447" s="61"/>
    </row>
    <row r="448" spans="8:9" ht="15">
      <c r="H448" s="8"/>
      <c r="I448" s="61"/>
    </row>
    <row r="449" spans="8:9" ht="15">
      <c r="H449" s="8"/>
      <c r="I449" s="61"/>
    </row>
    <row r="450" spans="8:9" ht="15">
      <c r="H450" s="8"/>
      <c r="I450" s="61"/>
    </row>
    <row r="451" spans="8:9" ht="15">
      <c r="H451" s="8"/>
      <c r="I451" s="61"/>
    </row>
    <row r="452" spans="8:9" ht="15">
      <c r="H452" s="8"/>
      <c r="I452" s="61"/>
    </row>
    <row r="453" spans="8:9" ht="15">
      <c r="H453" s="8"/>
      <c r="I453" s="61"/>
    </row>
    <row r="454" spans="8:9" ht="15">
      <c r="H454" s="8"/>
      <c r="I454" s="61"/>
    </row>
    <row r="455" spans="8:9" ht="15">
      <c r="H455" s="8"/>
      <c r="I455" s="61"/>
    </row>
    <row r="456" spans="8:9" ht="15">
      <c r="H456" s="8"/>
      <c r="I456" s="61"/>
    </row>
    <row r="457" spans="8:9" ht="15">
      <c r="H457" s="8"/>
      <c r="I457" s="61"/>
    </row>
    <row r="458" spans="8:9" ht="15">
      <c r="H458" s="8"/>
      <c r="I458" s="61"/>
    </row>
    <row r="459" spans="8:9" ht="15">
      <c r="H459" s="8"/>
      <c r="I459" s="61"/>
    </row>
    <row r="460" spans="8:9" ht="15">
      <c r="H460" s="8"/>
      <c r="I460" s="61"/>
    </row>
    <row r="461" spans="8:9" ht="15">
      <c r="H461" s="8"/>
      <c r="I461" s="61"/>
    </row>
    <row r="462" spans="8:9" ht="15">
      <c r="H462" s="8"/>
      <c r="I462" s="61"/>
    </row>
    <row r="463" spans="8:9" ht="15">
      <c r="H463" s="8"/>
      <c r="I463" s="61"/>
    </row>
    <row r="464" spans="8:9" ht="15">
      <c r="H464" s="8"/>
      <c r="I464" s="61"/>
    </row>
    <row r="465" spans="8:9" ht="15">
      <c r="H465" s="8"/>
      <c r="I465" s="61"/>
    </row>
    <row r="466" spans="8:9" ht="15">
      <c r="H466" s="8"/>
      <c r="I466" s="61"/>
    </row>
    <row r="467" spans="8:9" ht="15">
      <c r="H467" s="8"/>
      <c r="I467" s="61"/>
    </row>
    <row r="468" spans="8:9" ht="15">
      <c r="H468" s="8"/>
      <c r="I468" s="61"/>
    </row>
    <row r="469" spans="8:9" ht="15">
      <c r="H469" s="8"/>
      <c r="I469" s="61"/>
    </row>
    <row r="470" spans="8:9" ht="15">
      <c r="H470" s="8"/>
      <c r="I470" s="61"/>
    </row>
    <row r="471" spans="8:9" ht="15">
      <c r="H471" s="8"/>
      <c r="I471" s="61"/>
    </row>
    <row r="472" spans="8:9" ht="15">
      <c r="H472" s="8"/>
      <c r="I472" s="61"/>
    </row>
    <row r="473" ht="15">
      <c r="H473" s="8"/>
    </row>
    <row r="474" ht="15">
      <c r="H474" s="8"/>
    </row>
    <row r="475" ht="15">
      <c r="H475" s="8"/>
    </row>
    <row r="476" ht="15">
      <c r="H476" s="8"/>
    </row>
  </sheetData>
  <sheetProtection/>
  <mergeCells count="80">
    <mergeCell ref="D13:D14"/>
    <mergeCell ref="A72:A76"/>
    <mergeCell ref="B72:B76"/>
    <mergeCell ref="M72:M76"/>
    <mergeCell ref="L72:L76"/>
    <mergeCell ref="A42:A46"/>
    <mergeCell ref="B42:B46"/>
    <mergeCell ref="M42:M46"/>
    <mergeCell ref="B17:B21"/>
    <mergeCell ref="B13:B14"/>
    <mergeCell ref="J7:M7"/>
    <mergeCell ref="J10:M10"/>
    <mergeCell ref="A32:A36"/>
    <mergeCell ref="B33:B36"/>
    <mergeCell ref="A22:A26"/>
    <mergeCell ref="J5:M5"/>
    <mergeCell ref="A12:M12"/>
    <mergeCell ref="L13:L14"/>
    <mergeCell ref="A13:A14"/>
    <mergeCell ref="A16:M16"/>
    <mergeCell ref="A47:A51"/>
    <mergeCell ref="B92:B96"/>
    <mergeCell ref="A57:A61"/>
    <mergeCell ref="J1:M1"/>
    <mergeCell ref="M77:M81"/>
    <mergeCell ref="M17:M21"/>
    <mergeCell ref="L17:L21"/>
    <mergeCell ref="A17:A21"/>
    <mergeCell ref="J6:M6"/>
    <mergeCell ref="A77:A81"/>
    <mergeCell ref="B82:B86"/>
    <mergeCell ref="L77:L81"/>
    <mergeCell ref="B57:B61"/>
    <mergeCell ref="C13:C14"/>
    <mergeCell ref="A92:A96"/>
    <mergeCell ref="B37:B41"/>
    <mergeCell ref="A67:A71"/>
    <mergeCell ref="B23:B26"/>
    <mergeCell ref="A62:A66"/>
    <mergeCell ref="A37:A41"/>
    <mergeCell ref="E13:E14"/>
    <mergeCell ref="F13:F14"/>
    <mergeCell ref="L57:L61"/>
    <mergeCell ref="M92:M96"/>
    <mergeCell ref="L92:L96"/>
    <mergeCell ref="L82:L86"/>
    <mergeCell ref="M22:M26"/>
    <mergeCell ref="L42:L46"/>
    <mergeCell ref="M37:M41"/>
    <mergeCell ref="L62:L66"/>
    <mergeCell ref="G13:K13"/>
    <mergeCell ref="L67:L71"/>
    <mergeCell ref="M67:M71"/>
    <mergeCell ref="M32:M36"/>
    <mergeCell ref="L32:L36"/>
    <mergeCell ref="M13:M14"/>
    <mergeCell ref="M62:M66"/>
    <mergeCell ref="L37:L41"/>
    <mergeCell ref="L27:L31"/>
    <mergeCell ref="M27:M31"/>
    <mergeCell ref="A87:A91"/>
    <mergeCell ref="B87:B91"/>
    <mergeCell ref="L87:L91"/>
    <mergeCell ref="L22:L26"/>
    <mergeCell ref="A82:A86"/>
    <mergeCell ref="B47:B51"/>
    <mergeCell ref="A52:A56"/>
    <mergeCell ref="B77:B81"/>
    <mergeCell ref="A27:A31"/>
    <mergeCell ref="B27:B31"/>
    <mergeCell ref="M87:M91"/>
    <mergeCell ref="B62:B66"/>
    <mergeCell ref="L47:L51"/>
    <mergeCell ref="M47:M51"/>
    <mergeCell ref="L52:L56"/>
    <mergeCell ref="M52:M56"/>
    <mergeCell ref="M57:M61"/>
    <mergeCell ref="B52:B56"/>
    <mergeCell ref="B67:B71"/>
    <mergeCell ref="M82:M8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6"/>
  <sheetViews>
    <sheetView zoomScaleSheetLayoutView="100" zoomScalePageLayoutView="0" workbookViewId="0" topLeftCell="A1">
      <selection activeCell="N23" sqref="N23"/>
    </sheetView>
  </sheetViews>
  <sheetFormatPr defaultColWidth="9.00390625" defaultRowHeight="15"/>
  <cols>
    <col min="1" max="1" width="5.00390625" style="5" customWidth="1"/>
    <col min="2" max="2" width="15.57421875" style="0" customWidth="1"/>
    <col min="3" max="3" width="8.140625" style="0" customWidth="1"/>
    <col min="4" max="4" width="10.28125" style="0" customWidth="1"/>
    <col min="5" max="5" width="9.8515625" style="8" customWidth="1"/>
    <col min="6" max="6" width="13.140625" style="0" customWidth="1"/>
    <col min="7" max="7" width="11.140625" style="0" bestFit="1" customWidth="1"/>
    <col min="8" max="8" width="12.28125" style="21" customWidth="1"/>
    <col min="9" max="9" width="12.57421875" style="61" customWidth="1"/>
    <col min="10" max="10" width="13.28125" style="61" customWidth="1"/>
    <col min="11" max="11" width="11.00390625" style="61" customWidth="1"/>
    <col min="12" max="12" width="10.421875" style="0" customWidth="1"/>
    <col min="13" max="13" width="19.28125" style="0" customWidth="1"/>
  </cols>
  <sheetData>
    <row r="1" spans="1:13" ht="61.5" customHeight="1">
      <c r="A1" s="167" t="s">
        <v>2</v>
      </c>
      <c r="B1" s="167" t="s">
        <v>36</v>
      </c>
      <c r="C1" s="167" t="s">
        <v>39</v>
      </c>
      <c r="D1" s="167" t="s">
        <v>3</v>
      </c>
      <c r="E1" s="165" t="s">
        <v>38</v>
      </c>
      <c r="F1" s="167" t="s">
        <v>4</v>
      </c>
      <c r="G1" s="185" t="s">
        <v>5</v>
      </c>
      <c r="H1" s="186"/>
      <c r="I1" s="186"/>
      <c r="J1" s="186"/>
      <c r="K1" s="187"/>
      <c r="L1" s="167" t="s">
        <v>6</v>
      </c>
      <c r="M1" s="167" t="s">
        <v>13</v>
      </c>
    </row>
    <row r="2" spans="1:13" ht="98.25" customHeight="1">
      <c r="A2" s="168"/>
      <c r="B2" s="168"/>
      <c r="C2" s="168"/>
      <c r="D2" s="168"/>
      <c r="E2" s="166"/>
      <c r="F2" s="168"/>
      <c r="G2" s="35" t="s">
        <v>72</v>
      </c>
      <c r="H2" s="1" t="s">
        <v>73</v>
      </c>
      <c r="I2" s="55" t="s">
        <v>74</v>
      </c>
      <c r="J2" s="55" t="s">
        <v>75</v>
      </c>
      <c r="K2" s="55" t="s">
        <v>76</v>
      </c>
      <c r="L2" s="168"/>
      <c r="M2" s="168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22.5" customHeight="1">
      <c r="A4" s="176" t="s">
        <v>22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</row>
    <row r="5" spans="1:13" ht="21.75" customHeight="1">
      <c r="A5" s="157" t="s">
        <v>24</v>
      </c>
      <c r="B5" s="146" t="s">
        <v>106</v>
      </c>
      <c r="C5" s="17" t="s">
        <v>44</v>
      </c>
      <c r="D5" s="17" t="s">
        <v>7</v>
      </c>
      <c r="E5" s="18">
        <f aca="true" t="shared" si="0" ref="E5:K5">E6+E7+E8+E9</f>
        <v>1898159.5</v>
      </c>
      <c r="F5" s="18">
        <f t="shared" si="0"/>
        <v>16773751.31</v>
      </c>
      <c r="G5" s="18">
        <f t="shared" si="0"/>
        <v>2113694.23</v>
      </c>
      <c r="H5" s="18">
        <f t="shared" si="0"/>
        <v>2880868.9</v>
      </c>
      <c r="I5" s="47">
        <f t="shared" si="0"/>
        <v>3975371.7800000003</v>
      </c>
      <c r="J5" s="47">
        <f t="shared" si="0"/>
        <v>3898918.2</v>
      </c>
      <c r="K5" s="47">
        <f t="shared" si="0"/>
        <v>3904898.2</v>
      </c>
      <c r="L5" s="86" t="s">
        <v>16</v>
      </c>
      <c r="M5" s="86" t="s">
        <v>191</v>
      </c>
    </row>
    <row r="6" spans="1:13" ht="38.25" customHeight="1">
      <c r="A6" s="181"/>
      <c r="B6" s="179"/>
      <c r="C6" s="17" t="s">
        <v>44</v>
      </c>
      <c r="D6" s="17" t="s">
        <v>9</v>
      </c>
      <c r="E6" s="18">
        <f>E11+E16+E21+E31</f>
        <v>0</v>
      </c>
      <c r="F6" s="18">
        <f>G6+H6+I6+J6+K6</f>
        <v>315215</v>
      </c>
      <c r="G6" s="18">
        <f aca="true" t="shared" si="1" ref="G6:K7">G11+G16+G21+G31+G26+G39+G44+G49+G54+G59</f>
        <v>24790</v>
      </c>
      <c r="H6" s="18">
        <f t="shared" si="1"/>
        <v>65235</v>
      </c>
      <c r="I6" s="18">
        <f t="shared" si="1"/>
        <v>74370</v>
      </c>
      <c r="J6" s="18">
        <f t="shared" si="1"/>
        <v>74370</v>
      </c>
      <c r="K6" s="18">
        <f t="shared" si="1"/>
        <v>76450</v>
      </c>
      <c r="L6" s="123"/>
      <c r="M6" s="123"/>
    </row>
    <row r="7" spans="1:13" ht="49.5" customHeight="1">
      <c r="A7" s="181"/>
      <c r="B7" s="179"/>
      <c r="C7" s="17" t="s">
        <v>44</v>
      </c>
      <c r="D7" s="17" t="s">
        <v>10</v>
      </c>
      <c r="E7" s="18">
        <f>E12+E17+E22+E32</f>
        <v>1584903</v>
      </c>
      <c r="F7" s="18">
        <f>G7+H7+I7+J7+K7</f>
        <v>12031646</v>
      </c>
      <c r="G7" s="18">
        <f t="shared" si="1"/>
        <v>1737224</v>
      </c>
      <c r="H7" s="18">
        <f t="shared" si="1"/>
        <v>2062119</v>
      </c>
      <c r="I7" s="18">
        <f t="shared" si="1"/>
        <v>2744101</v>
      </c>
      <c r="J7" s="18">
        <f t="shared" si="1"/>
        <v>2744101</v>
      </c>
      <c r="K7" s="18">
        <f t="shared" si="1"/>
        <v>2744101</v>
      </c>
      <c r="L7" s="123"/>
      <c r="M7" s="123"/>
    </row>
    <row r="8" spans="1:13" ht="62.25" customHeight="1">
      <c r="A8" s="181"/>
      <c r="B8" s="179"/>
      <c r="C8" s="17" t="s">
        <v>44</v>
      </c>
      <c r="D8" s="17" t="s">
        <v>11</v>
      </c>
      <c r="E8" s="18">
        <f>E13+E18+E23+E33</f>
        <v>294995.5</v>
      </c>
      <c r="F8" s="18">
        <f>G8+H8+I8+J8+K8</f>
        <v>3228990.3100000005</v>
      </c>
      <c r="G8" s="18">
        <f aca="true" t="shared" si="2" ref="G8:K9">G13+G18+G23+G33+G28+G41+G46+G51+G56+G61+G36</f>
        <v>308180.23000000004</v>
      </c>
      <c r="H8" s="18">
        <f t="shared" si="2"/>
        <v>617314.9</v>
      </c>
      <c r="I8" s="18">
        <f t="shared" si="2"/>
        <v>818400.78</v>
      </c>
      <c r="J8" s="18">
        <f t="shared" si="2"/>
        <v>741047.2</v>
      </c>
      <c r="K8" s="18">
        <f t="shared" si="2"/>
        <v>744047.2</v>
      </c>
      <c r="L8" s="123"/>
      <c r="M8" s="123"/>
    </row>
    <row r="9" spans="1:13" ht="86.25" customHeight="1">
      <c r="A9" s="182"/>
      <c r="B9" s="180"/>
      <c r="C9" s="17" t="s">
        <v>44</v>
      </c>
      <c r="D9" s="17" t="s">
        <v>34</v>
      </c>
      <c r="E9" s="18">
        <f>E14+E19+E24+E34</f>
        <v>18261</v>
      </c>
      <c r="F9" s="18">
        <f>G9+H9+I9+J9+K9</f>
        <v>1197900</v>
      </c>
      <c r="G9" s="18">
        <f t="shared" si="2"/>
        <v>43500</v>
      </c>
      <c r="H9" s="18">
        <f t="shared" si="2"/>
        <v>136200</v>
      </c>
      <c r="I9" s="18">
        <f t="shared" si="2"/>
        <v>338500</v>
      </c>
      <c r="J9" s="18">
        <f>J14+J19+J24+J34+J29+J42+J47+J52+J57+J62+J37</f>
        <v>339400</v>
      </c>
      <c r="K9" s="18">
        <f t="shared" si="2"/>
        <v>340300</v>
      </c>
      <c r="L9" s="124"/>
      <c r="M9" s="124"/>
    </row>
    <row r="10" spans="1:13" s="14" customFormat="1" ht="21.75" customHeight="1">
      <c r="A10" s="157" t="s">
        <v>19</v>
      </c>
      <c r="B10" s="16" t="s">
        <v>125</v>
      </c>
      <c r="C10" s="17" t="s">
        <v>44</v>
      </c>
      <c r="D10" s="17" t="s">
        <v>7</v>
      </c>
      <c r="E10" s="18">
        <f aca="true" t="shared" si="3" ref="E10:K10">E11+E12+E13+E14</f>
        <v>1567098</v>
      </c>
      <c r="F10" s="18">
        <f t="shared" si="3"/>
        <v>3834882</v>
      </c>
      <c r="G10" s="18">
        <f t="shared" si="3"/>
        <v>1753111</v>
      </c>
      <c r="H10" s="18">
        <f t="shared" si="3"/>
        <v>2081771</v>
      </c>
      <c r="I10" s="47">
        <f>I11+I12+I13+I14</f>
        <v>0</v>
      </c>
      <c r="J10" s="47">
        <f t="shared" si="3"/>
        <v>0</v>
      </c>
      <c r="K10" s="47">
        <f t="shared" si="3"/>
        <v>0</v>
      </c>
      <c r="L10" s="139" t="s">
        <v>35</v>
      </c>
      <c r="M10" s="139"/>
    </row>
    <row r="11" spans="1:13" s="14" customFormat="1" ht="39" customHeight="1">
      <c r="A11" s="158"/>
      <c r="B11" s="147" t="s">
        <v>180</v>
      </c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114"/>
      <c r="M11" s="114"/>
    </row>
    <row r="12" spans="1:13" s="14" customFormat="1" ht="50.25" customHeight="1">
      <c r="A12" s="158"/>
      <c r="B12" s="147"/>
      <c r="C12" s="17" t="s">
        <v>44</v>
      </c>
      <c r="D12" s="17" t="s">
        <v>10</v>
      </c>
      <c r="E12" s="18">
        <v>1567098</v>
      </c>
      <c r="F12" s="18">
        <f>G12+H12+I12+J12+K12</f>
        <v>3756219</v>
      </c>
      <c r="G12" s="18">
        <f>1610943+76352-23384+54298-584</f>
        <v>1717625</v>
      </c>
      <c r="H12" s="47">
        <f>1655067+16467+194058+189900-38612+21714</f>
        <v>2038594</v>
      </c>
      <c r="I12" s="47">
        <v>0</v>
      </c>
      <c r="J12" s="47">
        <v>0</v>
      </c>
      <c r="K12" s="47">
        <v>0</v>
      </c>
      <c r="L12" s="114"/>
      <c r="M12" s="114"/>
    </row>
    <row r="13" spans="1:13" s="14" customFormat="1" ht="63.75" customHeight="1">
      <c r="A13" s="158"/>
      <c r="B13" s="147"/>
      <c r="C13" s="17" t="s">
        <v>44</v>
      </c>
      <c r="D13" s="17" t="s">
        <v>11</v>
      </c>
      <c r="E13" s="18">
        <v>0</v>
      </c>
      <c r="F13" s="18">
        <f>G13+H13+I13+J13+K13</f>
        <v>663</v>
      </c>
      <c r="G13" s="18">
        <f>62+424</f>
        <v>486</v>
      </c>
      <c r="H13" s="18">
        <v>177</v>
      </c>
      <c r="I13" s="47">
        <v>0</v>
      </c>
      <c r="J13" s="47">
        <v>0</v>
      </c>
      <c r="K13" s="47">
        <v>0</v>
      </c>
      <c r="L13" s="114"/>
      <c r="M13" s="114"/>
    </row>
    <row r="14" spans="1:13" s="14" customFormat="1" ht="292.5" customHeight="1">
      <c r="A14" s="159"/>
      <c r="B14" s="148"/>
      <c r="C14" s="17" t="s">
        <v>44</v>
      </c>
      <c r="D14" s="17" t="s">
        <v>34</v>
      </c>
      <c r="E14" s="18">
        <v>0</v>
      </c>
      <c r="F14" s="18">
        <f>G14+H14+I14+J14+K14</f>
        <v>78000</v>
      </c>
      <c r="G14" s="18">
        <v>35000</v>
      </c>
      <c r="H14" s="18">
        <f>35000+8000</f>
        <v>43000</v>
      </c>
      <c r="I14" s="47">
        <v>0</v>
      </c>
      <c r="J14" s="47">
        <v>0</v>
      </c>
      <c r="K14" s="47">
        <v>0</v>
      </c>
      <c r="L14" s="115"/>
      <c r="M14" s="115"/>
    </row>
    <row r="15" spans="1:13" s="14" customFormat="1" ht="15" customHeight="1">
      <c r="A15" s="157" t="s">
        <v>25</v>
      </c>
      <c r="B15" s="146" t="s">
        <v>179</v>
      </c>
      <c r="C15" s="17" t="s">
        <v>44</v>
      </c>
      <c r="D15" s="17" t="s">
        <v>7</v>
      </c>
      <c r="E15" s="18">
        <f aca="true" t="shared" si="4" ref="E15:K15">E16+E17+E18+E19</f>
        <v>17805</v>
      </c>
      <c r="F15" s="18">
        <f t="shared" si="4"/>
        <v>43124</v>
      </c>
      <c r="G15" s="18">
        <f t="shared" si="4"/>
        <v>19599</v>
      </c>
      <c r="H15" s="18">
        <f t="shared" si="4"/>
        <v>23525</v>
      </c>
      <c r="I15" s="47">
        <f t="shared" si="4"/>
        <v>0</v>
      </c>
      <c r="J15" s="47">
        <f t="shared" si="4"/>
        <v>0</v>
      </c>
      <c r="K15" s="47">
        <f t="shared" si="4"/>
        <v>0</v>
      </c>
      <c r="L15" s="139" t="s">
        <v>46</v>
      </c>
      <c r="M15" s="139"/>
    </row>
    <row r="16" spans="1:13" s="14" customFormat="1" ht="39.75" customHeight="1">
      <c r="A16" s="158"/>
      <c r="B16" s="147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/>
      <c r="L16" s="114"/>
      <c r="M16" s="183"/>
    </row>
    <row r="17" spans="1:13" s="14" customFormat="1" ht="51.75" customHeight="1">
      <c r="A17" s="158"/>
      <c r="B17" s="147"/>
      <c r="C17" s="17" t="s">
        <v>44</v>
      </c>
      <c r="D17" s="17" t="s">
        <v>10</v>
      </c>
      <c r="E17" s="18">
        <v>17805</v>
      </c>
      <c r="F17" s="18">
        <f>G17+H17+I17+J17+K17</f>
        <v>43124</v>
      </c>
      <c r="G17" s="18">
        <f>17647+1961+121-130</f>
        <v>19599</v>
      </c>
      <c r="H17" s="18">
        <f>23180+726-1594+1213</f>
        <v>23525</v>
      </c>
      <c r="I17" s="18">
        <v>0</v>
      </c>
      <c r="J17" s="18">
        <v>0</v>
      </c>
      <c r="K17" s="18">
        <v>0</v>
      </c>
      <c r="L17" s="114"/>
      <c r="M17" s="183"/>
    </row>
    <row r="18" spans="1:13" s="14" customFormat="1" ht="63.75" customHeight="1">
      <c r="A18" s="158"/>
      <c r="B18" s="147"/>
      <c r="C18" s="17" t="s">
        <v>44</v>
      </c>
      <c r="D18" s="17" t="s">
        <v>11</v>
      </c>
      <c r="E18" s="18">
        <v>0</v>
      </c>
      <c r="F18" s="18">
        <f>G18+H18+I18+J18+K18</f>
        <v>0</v>
      </c>
      <c r="G18" s="18">
        <v>0</v>
      </c>
      <c r="H18" s="18">
        <v>0</v>
      </c>
      <c r="I18" s="47">
        <v>0</v>
      </c>
      <c r="J18" s="47">
        <v>0</v>
      </c>
      <c r="K18" s="47">
        <v>0</v>
      </c>
      <c r="L18" s="114"/>
      <c r="M18" s="183"/>
    </row>
    <row r="19" spans="1:13" s="14" customFormat="1" ht="279" customHeight="1">
      <c r="A19" s="159"/>
      <c r="B19" s="148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115"/>
      <c r="M19" s="184"/>
    </row>
    <row r="20" spans="1:13" s="14" customFormat="1" ht="18.75" customHeight="1">
      <c r="A20" s="140" t="s">
        <v>20</v>
      </c>
      <c r="B20" s="169" t="s">
        <v>126</v>
      </c>
      <c r="C20" s="33" t="s">
        <v>44</v>
      </c>
      <c r="D20" s="33" t="s">
        <v>7</v>
      </c>
      <c r="E20" s="34">
        <f aca="true" t="shared" si="5" ref="E20:K20">E21+E22+E23+E24</f>
        <v>313256.5</v>
      </c>
      <c r="F20" s="18">
        <f>F21+F22+F23+F24</f>
        <v>2312116.58</v>
      </c>
      <c r="G20" s="18">
        <f t="shared" si="5"/>
        <v>244592.83000000002</v>
      </c>
      <c r="H20" s="18">
        <f t="shared" si="5"/>
        <v>449810.38999999996</v>
      </c>
      <c r="I20" s="47">
        <f t="shared" si="5"/>
        <v>516503.16</v>
      </c>
      <c r="J20" s="47">
        <f t="shared" si="5"/>
        <v>549055.1</v>
      </c>
      <c r="K20" s="47">
        <f t="shared" si="5"/>
        <v>552155.1</v>
      </c>
      <c r="L20" s="139" t="s">
        <v>18</v>
      </c>
      <c r="M20" s="139"/>
    </row>
    <row r="21" spans="1:13" s="14" customFormat="1" ht="38.25" customHeight="1">
      <c r="A21" s="172"/>
      <c r="B21" s="174"/>
      <c r="C21" s="33" t="s">
        <v>44</v>
      </c>
      <c r="D21" s="33" t="s">
        <v>9</v>
      </c>
      <c r="E21" s="34">
        <v>0</v>
      </c>
      <c r="F21" s="18">
        <f>G21+H21+I21+J21+K21</f>
        <v>0</v>
      </c>
      <c r="G21" s="18">
        <v>0</v>
      </c>
      <c r="H21" s="18">
        <v>0</v>
      </c>
      <c r="I21" s="47">
        <v>0</v>
      </c>
      <c r="J21" s="47">
        <v>0</v>
      </c>
      <c r="K21" s="47">
        <v>0</v>
      </c>
      <c r="L21" s="114"/>
      <c r="M21" s="114"/>
    </row>
    <row r="22" spans="1:13" s="14" customFormat="1" ht="50.25" customHeight="1">
      <c r="A22" s="172"/>
      <c r="B22" s="174"/>
      <c r="C22" s="33" t="s">
        <v>44</v>
      </c>
      <c r="D22" s="33" t="s">
        <v>10</v>
      </c>
      <c r="E22" s="34">
        <v>0</v>
      </c>
      <c r="F22" s="18">
        <f>G22+H22+I22+J22+K22</f>
        <v>0</v>
      </c>
      <c r="G22" s="18">
        <v>0</v>
      </c>
      <c r="H22" s="18">
        <v>0</v>
      </c>
      <c r="I22" s="47">
        <v>0</v>
      </c>
      <c r="J22" s="47">
        <v>0</v>
      </c>
      <c r="K22" s="47">
        <v>0</v>
      </c>
      <c r="L22" s="114"/>
      <c r="M22" s="114"/>
    </row>
    <row r="23" spans="1:13" s="14" customFormat="1" ht="63" customHeight="1">
      <c r="A23" s="172"/>
      <c r="B23" s="174"/>
      <c r="C23" s="33" t="s">
        <v>44</v>
      </c>
      <c r="D23" s="33" t="s">
        <v>11</v>
      </c>
      <c r="E23" s="34">
        <v>294995.5</v>
      </c>
      <c r="F23" s="18">
        <f>G23+H23+I23+J23+K23</f>
        <v>2281616.58</v>
      </c>
      <c r="G23" s="18">
        <f>262120.6-5100-7000-2517+436.17-76.44-100-459.5-424-8836+400+3149</f>
        <v>241592.83000000002</v>
      </c>
      <c r="H23" s="47">
        <f>254354+3014.3-8911.5+13505-400.05+176+403.62+8043+130.1+452.4+1500+179.3+38702.8+12732.1+47.35+3867.31+2773.9+8579.57+178+2874+390+8998+1879+7790.43+7164.6+2914.9+72721.46+1250.8</f>
        <v>445310.38999999996</v>
      </c>
      <c r="I23" s="47">
        <f>543355.1-3500-64293.7-824.25+10715+4350+5474.1+632+165+388.7+770-793.22+2150+696.57+6817-2148.74+246+300+4367+336.6-200</f>
        <v>509003.16</v>
      </c>
      <c r="J23" s="47">
        <f>543355.1-2000</f>
        <v>541355.1</v>
      </c>
      <c r="K23" s="47">
        <f>547355.1-3000</f>
        <v>544355.1</v>
      </c>
      <c r="L23" s="114"/>
      <c r="M23" s="114"/>
    </row>
    <row r="24" spans="1:13" s="14" customFormat="1" ht="34.5" customHeight="1">
      <c r="A24" s="173"/>
      <c r="B24" s="175"/>
      <c r="C24" s="33" t="s">
        <v>44</v>
      </c>
      <c r="D24" s="33" t="s">
        <v>34</v>
      </c>
      <c r="E24" s="34">
        <v>18261</v>
      </c>
      <c r="F24" s="18">
        <f>G24+H24+I24+J24+K24</f>
        <v>30500</v>
      </c>
      <c r="G24" s="18">
        <f>18700+5000-20700</f>
        <v>3000</v>
      </c>
      <c r="H24" s="18">
        <f>18700-16200+2000</f>
        <v>4500</v>
      </c>
      <c r="I24" s="47">
        <v>7500</v>
      </c>
      <c r="J24" s="47">
        <v>7700</v>
      </c>
      <c r="K24" s="47">
        <v>7800</v>
      </c>
      <c r="L24" s="115"/>
      <c r="M24" s="115"/>
    </row>
    <row r="25" spans="1:13" s="14" customFormat="1" ht="25.5" customHeight="1">
      <c r="A25" s="140" t="s">
        <v>88</v>
      </c>
      <c r="B25" s="100" t="s">
        <v>178</v>
      </c>
      <c r="C25" s="33" t="s">
        <v>44</v>
      </c>
      <c r="D25" s="33" t="s">
        <v>7</v>
      </c>
      <c r="E25" s="18">
        <f>E26+E27+E28+E29</f>
        <v>20918.43</v>
      </c>
      <c r="F25" s="18">
        <f aca="true" t="shared" si="6" ref="F25:K25">F26+F27+F28+F29</f>
        <v>264226.98</v>
      </c>
      <c r="G25" s="18">
        <f t="shared" si="6"/>
        <v>12190.2</v>
      </c>
      <c r="H25" s="18">
        <f t="shared" si="6"/>
        <v>49077.87999999999</v>
      </c>
      <c r="I25" s="47">
        <f t="shared" si="6"/>
        <v>96558.9</v>
      </c>
      <c r="J25" s="47">
        <f t="shared" si="6"/>
        <v>53100</v>
      </c>
      <c r="K25" s="47">
        <f t="shared" si="6"/>
        <v>53300</v>
      </c>
      <c r="L25" s="139" t="s">
        <v>18</v>
      </c>
      <c r="M25" s="36"/>
    </row>
    <row r="26" spans="1:13" s="14" customFormat="1" ht="39" customHeight="1">
      <c r="A26" s="98"/>
      <c r="B26" s="155"/>
      <c r="C26" s="33" t="s">
        <v>44</v>
      </c>
      <c r="D26" s="33" t="s">
        <v>9</v>
      </c>
      <c r="E26" s="34">
        <v>0</v>
      </c>
      <c r="F26" s="18">
        <f>G26+H26+I26+J26+K26</f>
        <v>0</v>
      </c>
      <c r="G26" s="18">
        <v>0</v>
      </c>
      <c r="H26" s="18">
        <v>0</v>
      </c>
      <c r="I26" s="47">
        <v>0</v>
      </c>
      <c r="J26" s="47">
        <v>0</v>
      </c>
      <c r="K26" s="47">
        <v>0</v>
      </c>
      <c r="L26" s="114"/>
      <c r="M26" s="37"/>
    </row>
    <row r="27" spans="1:13" s="14" customFormat="1" ht="50.25" customHeight="1">
      <c r="A27" s="98"/>
      <c r="B27" s="155"/>
      <c r="C27" s="33" t="s">
        <v>44</v>
      </c>
      <c r="D27" s="33" t="s">
        <v>10</v>
      </c>
      <c r="E27" s="34">
        <v>0</v>
      </c>
      <c r="F27" s="18">
        <f>G27+H27+I27+J27+K27</f>
        <v>0</v>
      </c>
      <c r="G27" s="18">
        <v>0</v>
      </c>
      <c r="H27" s="18">
        <v>0</v>
      </c>
      <c r="I27" s="47">
        <v>0</v>
      </c>
      <c r="J27" s="47">
        <v>0</v>
      </c>
      <c r="K27" s="47">
        <v>0</v>
      </c>
      <c r="L27" s="114"/>
      <c r="M27" s="37"/>
    </row>
    <row r="28" spans="1:13" s="14" customFormat="1" ht="61.5" customHeight="1">
      <c r="A28" s="98"/>
      <c r="B28" s="155"/>
      <c r="C28" s="33" t="s">
        <v>44</v>
      </c>
      <c r="D28" s="33" t="s">
        <v>11</v>
      </c>
      <c r="E28" s="34">
        <v>20918.43</v>
      </c>
      <c r="F28" s="18">
        <f>G28+H28+I28+J28+K28</f>
        <v>80626.98</v>
      </c>
      <c r="G28" s="18">
        <f>4976.7+1713.5</f>
        <v>6690.2</v>
      </c>
      <c r="H28" s="47">
        <f>5251.6+5978.2+4350+769+410.8+15807.92-259.15-3950+2000+19.51</f>
        <v>30377.879999999994</v>
      </c>
      <c r="I28" s="47">
        <f>580+250+2000+18967.9+5132-6017+21707+939</f>
        <v>43558.9</v>
      </c>
      <c r="J28" s="47">
        <v>0</v>
      </c>
      <c r="K28" s="47">
        <v>0</v>
      </c>
      <c r="L28" s="114"/>
      <c r="M28" s="37"/>
    </row>
    <row r="29" spans="1:13" s="14" customFormat="1" ht="27" customHeight="1">
      <c r="A29" s="99"/>
      <c r="B29" s="156"/>
      <c r="C29" s="33" t="s">
        <v>44</v>
      </c>
      <c r="D29" s="33" t="s">
        <v>34</v>
      </c>
      <c r="E29" s="34">
        <v>0</v>
      </c>
      <c r="F29" s="18">
        <f>G29+H29+I29+J29+K29</f>
        <v>183600</v>
      </c>
      <c r="G29" s="18">
        <v>5500</v>
      </c>
      <c r="H29" s="18">
        <f>3700+15000</f>
        <v>18700</v>
      </c>
      <c r="I29" s="47">
        <v>53000</v>
      </c>
      <c r="J29" s="47">
        <v>53100</v>
      </c>
      <c r="K29" s="47">
        <v>53300</v>
      </c>
      <c r="L29" s="115"/>
      <c r="M29" s="38"/>
    </row>
    <row r="30" spans="1:13" s="14" customFormat="1" ht="21.75" customHeight="1">
      <c r="A30" s="140" t="s">
        <v>87</v>
      </c>
      <c r="B30" s="146" t="s">
        <v>127</v>
      </c>
      <c r="C30" s="33" t="s">
        <v>44</v>
      </c>
      <c r="D30" s="33" t="s">
        <v>7</v>
      </c>
      <c r="E30" s="34">
        <f>E31+E32+E33+E34</f>
        <v>0</v>
      </c>
      <c r="F30" s="34">
        <f aca="true" t="shared" si="7" ref="F30:K30">F31+F32+F33+F34</f>
        <v>498044.29000000004</v>
      </c>
      <c r="G30" s="34">
        <f t="shared" si="7"/>
        <v>53851.7</v>
      </c>
      <c r="H30" s="34">
        <f t="shared" si="7"/>
        <v>75134.76999999999</v>
      </c>
      <c r="I30" s="70">
        <f>I31+I32+I33+I34</f>
        <v>124888.62000000001</v>
      </c>
      <c r="J30" s="70">
        <f t="shared" si="7"/>
        <v>122084.6</v>
      </c>
      <c r="K30" s="70">
        <f t="shared" si="7"/>
        <v>122084.6</v>
      </c>
      <c r="L30" s="139" t="s">
        <v>18</v>
      </c>
      <c r="M30" s="36"/>
    </row>
    <row r="31" spans="1:13" s="14" customFormat="1" ht="38.25" customHeight="1">
      <c r="A31" s="141"/>
      <c r="B31" s="149"/>
      <c r="C31" s="33" t="s">
        <v>44</v>
      </c>
      <c r="D31" s="33" t="s">
        <v>9</v>
      </c>
      <c r="E31" s="34">
        <v>0</v>
      </c>
      <c r="F31" s="18">
        <f>G31+H31+I31+J31+K31</f>
        <v>0</v>
      </c>
      <c r="G31" s="18">
        <v>0</v>
      </c>
      <c r="H31" s="18">
        <v>0</v>
      </c>
      <c r="I31" s="47">
        <v>0</v>
      </c>
      <c r="J31" s="47">
        <v>0</v>
      </c>
      <c r="K31" s="47">
        <v>0</v>
      </c>
      <c r="L31" s="114"/>
      <c r="M31" s="37"/>
    </row>
    <row r="32" spans="1:13" s="14" customFormat="1" ht="49.5" customHeight="1">
      <c r="A32" s="141"/>
      <c r="B32" s="149"/>
      <c r="C32" s="33" t="s">
        <v>44</v>
      </c>
      <c r="D32" s="33" t="s">
        <v>10</v>
      </c>
      <c r="E32" s="34">
        <v>0</v>
      </c>
      <c r="F32" s="18">
        <f>G32+H32+I32+J32+K32</f>
        <v>0</v>
      </c>
      <c r="G32" s="18">
        <v>0</v>
      </c>
      <c r="H32" s="18">
        <v>0</v>
      </c>
      <c r="I32" s="47">
        <v>0</v>
      </c>
      <c r="J32" s="47">
        <v>0</v>
      </c>
      <c r="K32" s="47">
        <v>0</v>
      </c>
      <c r="L32" s="114"/>
      <c r="M32" s="37"/>
    </row>
    <row r="33" spans="1:13" s="14" customFormat="1" ht="62.25" customHeight="1">
      <c r="A33" s="141"/>
      <c r="B33" s="149"/>
      <c r="C33" s="33" t="s">
        <v>44</v>
      </c>
      <c r="D33" s="33" t="s">
        <v>11</v>
      </c>
      <c r="E33" s="34">
        <v>0</v>
      </c>
      <c r="F33" s="18">
        <f>G33+H33+I33+J33+K33</f>
        <v>498044.29000000004</v>
      </c>
      <c r="G33" s="18">
        <f>54385-533.3</f>
        <v>53851.7</v>
      </c>
      <c r="H33" s="18">
        <f>56794.3-0.3-411.01+1298+5256+400.05+6066.3+5731.43</f>
        <v>75134.76999999999</v>
      </c>
      <c r="I33" s="47">
        <f>122084.6+2026.6+163.68+613.74</f>
        <v>124888.62000000001</v>
      </c>
      <c r="J33" s="47">
        <v>122084.6</v>
      </c>
      <c r="K33" s="47">
        <v>122084.6</v>
      </c>
      <c r="L33" s="114"/>
      <c r="M33" s="37"/>
    </row>
    <row r="34" spans="1:13" s="14" customFormat="1" ht="27.75" customHeight="1">
      <c r="A34" s="142"/>
      <c r="B34" s="150"/>
      <c r="C34" s="33" t="s">
        <v>44</v>
      </c>
      <c r="D34" s="33" t="s">
        <v>34</v>
      </c>
      <c r="E34" s="34">
        <v>0</v>
      </c>
      <c r="F34" s="18">
        <f>G34+H34+I34+J34+K34</f>
        <v>0</v>
      </c>
      <c r="G34" s="18">
        <v>0</v>
      </c>
      <c r="H34" s="18">
        <v>0</v>
      </c>
      <c r="I34" s="47">
        <v>0</v>
      </c>
      <c r="J34" s="47">
        <v>0</v>
      </c>
      <c r="K34" s="47">
        <v>0</v>
      </c>
      <c r="L34" s="115"/>
      <c r="M34" s="38"/>
    </row>
    <row r="35" spans="1:13" s="14" customFormat="1" ht="27.75" customHeight="1">
      <c r="A35" s="193" t="s">
        <v>90</v>
      </c>
      <c r="B35" s="143" t="s">
        <v>128</v>
      </c>
      <c r="C35" s="33" t="s">
        <v>44</v>
      </c>
      <c r="D35" s="33" t="s">
        <v>7</v>
      </c>
      <c r="E35" s="34">
        <f>E36+E37</f>
        <v>4358.7</v>
      </c>
      <c r="F35" s="34">
        <f aca="true" t="shared" si="8" ref="F35:K35">F36+F37</f>
        <v>1034585.83</v>
      </c>
      <c r="G35" s="34">
        <f t="shared" si="8"/>
        <v>5559.5</v>
      </c>
      <c r="H35" s="34">
        <f t="shared" si="8"/>
        <v>98400.89</v>
      </c>
      <c r="I35" s="70">
        <f t="shared" si="8"/>
        <v>317910.44</v>
      </c>
      <c r="J35" s="70">
        <f t="shared" si="8"/>
        <v>306107.5</v>
      </c>
      <c r="K35" s="70">
        <f t="shared" si="8"/>
        <v>306607.5</v>
      </c>
      <c r="L35" s="139" t="s">
        <v>18</v>
      </c>
      <c r="M35" s="139"/>
    </row>
    <row r="36" spans="1:13" s="14" customFormat="1" ht="64.5" customHeight="1">
      <c r="A36" s="116"/>
      <c r="B36" s="155"/>
      <c r="C36" s="33" t="s">
        <v>44</v>
      </c>
      <c r="D36" s="33" t="s">
        <v>11</v>
      </c>
      <c r="E36" s="34">
        <v>4358.7</v>
      </c>
      <c r="F36" s="18">
        <f>G36+H36+I36+J36+K36</f>
        <v>279085.82999999996</v>
      </c>
      <c r="G36" s="18">
        <f>5100+459.5</f>
        <v>5559.5</v>
      </c>
      <c r="H36" s="18">
        <f>6156+7034+10630.85+4580.04</f>
        <v>28400.89</v>
      </c>
      <c r="I36" s="47">
        <f>77607.5+12247.4+55.54</f>
        <v>89910.43999999999</v>
      </c>
      <c r="J36" s="47">
        <v>77607.5</v>
      </c>
      <c r="K36" s="47">
        <v>77607.5</v>
      </c>
      <c r="L36" s="84"/>
      <c r="M36" s="84"/>
    </row>
    <row r="37" spans="1:13" s="14" customFormat="1" ht="39" customHeight="1">
      <c r="A37" s="99"/>
      <c r="B37" s="145"/>
      <c r="C37" s="33" t="s">
        <v>44</v>
      </c>
      <c r="D37" s="33" t="s">
        <v>34</v>
      </c>
      <c r="E37" s="34">
        <v>0</v>
      </c>
      <c r="F37" s="18">
        <f>G37+H37+I37+J37+K37</f>
        <v>755500</v>
      </c>
      <c r="G37" s="18">
        <v>0</v>
      </c>
      <c r="H37" s="18">
        <v>70000</v>
      </c>
      <c r="I37" s="47">
        <v>228000</v>
      </c>
      <c r="J37" s="47">
        <v>228500</v>
      </c>
      <c r="K37" s="47">
        <v>229000</v>
      </c>
      <c r="L37" s="85"/>
      <c r="M37" s="85"/>
    </row>
    <row r="38" spans="1:13" s="14" customFormat="1" ht="27.75" customHeight="1">
      <c r="A38" s="90" t="s">
        <v>101</v>
      </c>
      <c r="B38" s="154" t="s">
        <v>129</v>
      </c>
      <c r="C38" s="33" t="s">
        <v>44</v>
      </c>
      <c r="D38" s="33" t="s">
        <v>7</v>
      </c>
      <c r="E38" s="34">
        <f>E39+E40+E41+E42</f>
        <v>0</v>
      </c>
      <c r="F38" s="34">
        <f aca="true" t="shared" si="9" ref="F38:K38">F39+F40+F41+F42</f>
        <v>90025</v>
      </c>
      <c r="G38" s="34">
        <f t="shared" si="9"/>
        <v>24790</v>
      </c>
      <c r="H38" s="34">
        <f t="shared" si="9"/>
        <v>65235</v>
      </c>
      <c r="I38" s="70">
        <f t="shared" si="9"/>
        <v>0</v>
      </c>
      <c r="J38" s="70">
        <f t="shared" si="9"/>
        <v>0</v>
      </c>
      <c r="K38" s="70">
        <f t="shared" si="9"/>
        <v>0</v>
      </c>
      <c r="L38" s="79" t="s">
        <v>18</v>
      </c>
      <c r="M38" s="36"/>
    </row>
    <row r="39" spans="1:13" s="14" customFormat="1" ht="36" customHeight="1">
      <c r="A39" s="98"/>
      <c r="B39" s="144"/>
      <c r="C39" s="33" t="s">
        <v>44</v>
      </c>
      <c r="D39" s="33" t="s">
        <v>9</v>
      </c>
      <c r="E39" s="34">
        <v>0</v>
      </c>
      <c r="F39" s="18">
        <f>G39+H39+I39+J39+K39</f>
        <v>90025</v>
      </c>
      <c r="G39" s="18">
        <f>23384+1406</f>
        <v>24790</v>
      </c>
      <c r="H39" s="18">
        <f>74370-9135</f>
        <v>65235</v>
      </c>
      <c r="I39" s="47">
        <v>0</v>
      </c>
      <c r="J39" s="47">
        <v>0</v>
      </c>
      <c r="K39" s="47">
        <v>0</v>
      </c>
      <c r="L39" s="80"/>
      <c r="M39" s="37"/>
    </row>
    <row r="40" spans="1:13" s="14" customFormat="1" ht="48.75" customHeight="1">
      <c r="A40" s="98"/>
      <c r="B40" s="144"/>
      <c r="C40" s="33" t="s">
        <v>44</v>
      </c>
      <c r="D40" s="33" t="s">
        <v>10</v>
      </c>
      <c r="E40" s="34">
        <v>0</v>
      </c>
      <c r="F40" s="18">
        <f>G40+H40+I40+J40+K40</f>
        <v>0</v>
      </c>
      <c r="G40" s="18">
        <f>23384-23384</f>
        <v>0</v>
      </c>
      <c r="H40" s="18">
        <f>70152-70152</f>
        <v>0</v>
      </c>
      <c r="I40" s="47">
        <f>70152-70152</f>
        <v>0</v>
      </c>
      <c r="J40" s="47">
        <v>0</v>
      </c>
      <c r="K40" s="47">
        <v>0</v>
      </c>
      <c r="L40" s="80"/>
      <c r="M40" s="37"/>
    </row>
    <row r="41" spans="1:13" s="14" customFormat="1" ht="62.25" customHeight="1">
      <c r="A41" s="98"/>
      <c r="B41" s="144"/>
      <c r="C41" s="33" t="s">
        <v>44</v>
      </c>
      <c r="D41" s="33" t="s">
        <v>11</v>
      </c>
      <c r="E41" s="34">
        <v>0</v>
      </c>
      <c r="F41" s="18">
        <f>G41+H41+I41+J41+K41</f>
        <v>0</v>
      </c>
      <c r="G41" s="18">
        <v>0</v>
      </c>
      <c r="H41" s="18">
        <v>0</v>
      </c>
      <c r="I41" s="47">
        <v>0</v>
      </c>
      <c r="J41" s="47">
        <v>0</v>
      </c>
      <c r="K41" s="47">
        <v>0</v>
      </c>
      <c r="L41" s="80"/>
      <c r="M41" s="37"/>
    </row>
    <row r="42" spans="1:13" s="14" customFormat="1" ht="409.5" customHeight="1">
      <c r="A42" s="99"/>
      <c r="B42" s="145"/>
      <c r="C42" s="33" t="s">
        <v>44</v>
      </c>
      <c r="D42" s="33" t="s">
        <v>34</v>
      </c>
      <c r="E42" s="34">
        <v>0</v>
      </c>
      <c r="F42" s="18">
        <f>G42+H42+I42+J42+K42</f>
        <v>0</v>
      </c>
      <c r="G42" s="18">
        <v>0</v>
      </c>
      <c r="H42" s="18">
        <v>0</v>
      </c>
      <c r="I42" s="47">
        <v>0</v>
      </c>
      <c r="J42" s="47">
        <v>0</v>
      </c>
      <c r="K42" s="47">
        <v>0</v>
      </c>
      <c r="L42" s="81"/>
      <c r="M42" s="37"/>
    </row>
    <row r="43" spans="1:13" s="14" customFormat="1" ht="24" customHeight="1">
      <c r="A43" s="90" t="s">
        <v>166</v>
      </c>
      <c r="B43" s="154" t="s">
        <v>167</v>
      </c>
      <c r="C43" s="33" t="s">
        <v>168</v>
      </c>
      <c r="D43" s="33" t="s">
        <v>7</v>
      </c>
      <c r="E43" s="34">
        <f>E44+E45+E46+E47</f>
        <v>0</v>
      </c>
      <c r="F43" s="34">
        <f aca="true" t="shared" si="10" ref="F43:K43">F44+F45+F46+F47</f>
        <v>51402.42</v>
      </c>
      <c r="G43" s="34">
        <f t="shared" si="10"/>
        <v>0</v>
      </c>
      <c r="H43" s="34">
        <f t="shared" si="10"/>
        <v>3012.41</v>
      </c>
      <c r="I43" s="34">
        <f t="shared" si="10"/>
        <v>48390.01</v>
      </c>
      <c r="J43" s="34">
        <f t="shared" si="10"/>
        <v>0</v>
      </c>
      <c r="K43" s="34">
        <f t="shared" si="10"/>
        <v>0</v>
      </c>
      <c r="L43" s="79" t="s">
        <v>169</v>
      </c>
      <c r="M43" s="114"/>
    </row>
    <row r="44" spans="1:13" s="14" customFormat="1" ht="37.5" customHeight="1">
      <c r="A44" s="116"/>
      <c r="B44" s="155"/>
      <c r="C44" s="33" t="s">
        <v>168</v>
      </c>
      <c r="D44" s="33" t="s">
        <v>9</v>
      </c>
      <c r="E44" s="34">
        <v>0</v>
      </c>
      <c r="F44" s="18">
        <f>G44+H44+I44+J44+K44</f>
        <v>0</v>
      </c>
      <c r="G44" s="18">
        <v>0</v>
      </c>
      <c r="H44" s="18">
        <v>0</v>
      </c>
      <c r="I44" s="47">
        <v>0</v>
      </c>
      <c r="J44" s="47">
        <v>0</v>
      </c>
      <c r="K44" s="47">
        <v>0</v>
      </c>
      <c r="L44" s="84"/>
      <c r="M44" s="84"/>
    </row>
    <row r="45" spans="1:13" s="14" customFormat="1" ht="51.75" customHeight="1">
      <c r="A45" s="116"/>
      <c r="B45" s="155"/>
      <c r="C45" s="33" t="s">
        <v>168</v>
      </c>
      <c r="D45" s="33" t="s">
        <v>10</v>
      </c>
      <c r="E45" s="34">
        <v>0</v>
      </c>
      <c r="F45" s="18">
        <f>G45+H45+I45+J45+K45</f>
        <v>0</v>
      </c>
      <c r="G45" s="18">
        <v>0</v>
      </c>
      <c r="H45" s="18">
        <v>0</v>
      </c>
      <c r="I45" s="47">
        <v>0</v>
      </c>
      <c r="J45" s="47">
        <v>0</v>
      </c>
      <c r="K45" s="47">
        <v>0</v>
      </c>
      <c r="L45" s="84"/>
      <c r="M45" s="84"/>
    </row>
    <row r="46" spans="1:13" s="14" customFormat="1" ht="61.5" customHeight="1">
      <c r="A46" s="116"/>
      <c r="B46" s="155"/>
      <c r="C46" s="33" t="s">
        <v>168</v>
      </c>
      <c r="D46" s="33" t="s">
        <v>11</v>
      </c>
      <c r="E46" s="34">
        <v>0</v>
      </c>
      <c r="F46" s="18">
        <f>G46+H46+I46+J46+K46</f>
        <v>51402.42</v>
      </c>
      <c r="G46" s="18">
        <v>0</v>
      </c>
      <c r="H46" s="18">
        <v>3012.41</v>
      </c>
      <c r="I46" s="47">
        <f>16300+4366+1864.4+7200+270+1600+1820+2115.03+1358.62+2568.97-6230.4+4400+1800+500-6042.61-500+15000</f>
        <v>48390.01</v>
      </c>
      <c r="J46" s="47">
        <v>0</v>
      </c>
      <c r="K46" s="47">
        <v>0</v>
      </c>
      <c r="L46" s="84"/>
      <c r="M46" s="84"/>
    </row>
    <row r="47" spans="1:13" s="14" customFormat="1" ht="30" customHeight="1">
      <c r="A47" s="117"/>
      <c r="B47" s="156"/>
      <c r="C47" s="33" t="s">
        <v>168</v>
      </c>
      <c r="D47" s="33" t="s">
        <v>34</v>
      </c>
      <c r="E47" s="34">
        <v>0</v>
      </c>
      <c r="F47" s="18">
        <f>G47+H47+I47+J47+K47</f>
        <v>0</v>
      </c>
      <c r="G47" s="18">
        <v>0</v>
      </c>
      <c r="H47" s="18">
        <v>0</v>
      </c>
      <c r="I47" s="47">
        <v>0</v>
      </c>
      <c r="J47" s="47">
        <v>0</v>
      </c>
      <c r="K47" s="47">
        <v>0</v>
      </c>
      <c r="L47" s="85"/>
      <c r="M47" s="85"/>
    </row>
    <row r="48" spans="1:13" s="14" customFormat="1" ht="25.5" customHeight="1">
      <c r="A48" s="90" t="s">
        <v>181</v>
      </c>
      <c r="B48" s="154" t="s">
        <v>182</v>
      </c>
      <c r="C48" s="33" t="s">
        <v>168</v>
      </c>
      <c r="D48" s="33" t="s">
        <v>7</v>
      </c>
      <c r="E48" s="34">
        <f>E49+E50+E51+E52</f>
        <v>0</v>
      </c>
      <c r="F48" s="34">
        <f aca="true" t="shared" si="11" ref="F48:K48">F49+F50+F51+F52</f>
        <v>8522452.25</v>
      </c>
      <c r="G48" s="34">
        <f t="shared" si="11"/>
        <v>0</v>
      </c>
      <c r="H48" s="34">
        <f t="shared" si="11"/>
        <v>0</v>
      </c>
      <c r="I48" s="34">
        <f t="shared" si="11"/>
        <v>2840644.25</v>
      </c>
      <c r="J48" s="34">
        <f t="shared" si="11"/>
        <v>2839814</v>
      </c>
      <c r="K48" s="34">
        <f t="shared" si="11"/>
        <v>2841994</v>
      </c>
      <c r="L48" s="79" t="s">
        <v>18</v>
      </c>
      <c r="M48" s="37"/>
    </row>
    <row r="49" spans="1:13" s="14" customFormat="1" ht="36.75" customHeight="1">
      <c r="A49" s="98"/>
      <c r="B49" s="144"/>
      <c r="C49" s="33" t="s">
        <v>168</v>
      </c>
      <c r="D49" s="33" t="s">
        <v>9</v>
      </c>
      <c r="E49" s="34">
        <v>0</v>
      </c>
      <c r="F49" s="18">
        <f>G49+H49+I49+J49+K49</f>
        <v>225190</v>
      </c>
      <c r="G49" s="18">
        <v>0</v>
      </c>
      <c r="H49" s="18">
        <v>0</v>
      </c>
      <c r="I49" s="47">
        <v>74370</v>
      </c>
      <c r="J49" s="47">
        <v>74370</v>
      </c>
      <c r="K49" s="47">
        <v>76450</v>
      </c>
      <c r="L49" s="80"/>
      <c r="M49" s="37"/>
    </row>
    <row r="50" spans="1:13" s="14" customFormat="1" ht="51" customHeight="1">
      <c r="A50" s="98"/>
      <c r="B50" s="144"/>
      <c r="C50" s="33" t="s">
        <v>168</v>
      </c>
      <c r="D50" s="33" t="s">
        <v>10</v>
      </c>
      <c r="E50" s="34">
        <v>0</v>
      </c>
      <c r="F50" s="18">
        <f>G50+H50+I50+J50+K50</f>
        <v>8146032</v>
      </c>
      <c r="G50" s="18">
        <v>0</v>
      </c>
      <c r="H50" s="18">
        <v>0</v>
      </c>
      <c r="I50" s="47">
        <v>2715344</v>
      </c>
      <c r="J50" s="47">
        <v>2715344</v>
      </c>
      <c r="K50" s="47">
        <v>2715344</v>
      </c>
      <c r="L50" s="80"/>
      <c r="M50" s="37"/>
    </row>
    <row r="51" spans="1:13" s="14" customFormat="1" ht="62.25" customHeight="1">
      <c r="A51" s="98"/>
      <c r="B51" s="144"/>
      <c r="C51" s="33" t="s">
        <v>168</v>
      </c>
      <c r="D51" s="33" t="s">
        <v>11</v>
      </c>
      <c r="E51" s="34">
        <v>0</v>
      </c>
      <c r="F51" s="18">
        <f>G51+H51+I51+J51+K51</f>
        <v>930.25</v>
      </c>
      <c r="G51" s="18">
        <v>0</v>
      </c>
      <c r="H51" s="18">
        <v>0</v>
      </c>
      <c r="I51" s="47">
        <f>824.25+106</f>
        <v>930.25</v>
      </c>
      <c r="J51" s="47">
        <v>0</v>
      </c>
      <c r="K51" s="47">
        <v>0</v>
      </c>
      <c r="L51" s="80"/>
      <c r="M51" s="37"/>
    </row>
    <row r="52" spans="1:13" s="14" customFormat="1" ht="409.5" customHeight="1">
      <c r="A52" s="99"/>
      <c r="B52" s="145"/>
      <c r="C52" s="33" t="s">
        <v>168</v>
      </c>
      <c r="D52" s="33" t="s">
        <v>34</v>
      </c>
      <c r="E52" s="34">
        <v>0</v>
      </c>
      <c r="F52" s="18">
        <f>G52+H52+I52+J52+K52</f>
        <v>150300</v>
      </c>
      <c r="G52" s="18">
        <v>0</v>
      </c>
      <c r="H52" s="18">
        <v>0</v>
      </c>
      <c r="I52" s="47">
        <v>50000</v>
      </c>
      <c r="J52" s="47">
        <v>50100</v>
      </c>
      <c r="K52" s="47">
        <v>50200</v>
      </c>
      <c r="L52" s="81"/>
      <c r="M52" s="38"/>
    </row>
    <row r="53" spans="1:13" s="14" customFormat="1" ht="28.5" customHeight="1">
      <c r="A53" s="90" t="s">
        <v>183</v>
      </c>
      <c r="B53" s="154" t="s">
        <v>184</v>
      </c>
      <c r="C53" s="33" t="s">
        <v>168</v>
      </c>
      <c r="D53" s="33" t="s">
        <v>7</v>
      </c>
      <c r="E53" s="34">
        <f>E54+E55+E57</f>
        <v>0</v>
      </c>
      <c r="F53" s="34">
        <f aca="true" t="shared" si="12" ref="F53:K53">F54+F55+F57</f>
        <v>86271</v>
      </c>
      <c r="G53" s="34">
        <f t="shared" si="12"/>
        <v>0</v>
      </c>
      <c r="H53" s="34">
        <f t="shared" si="12"/>
        <v>0</v>
      </c>
      <c r="I53" s="34">
        <f t="shared" si="12"/>
        <v>28757</v>
      </c>
      <c r="J53" s="34">
        <f t="shared" si="12"/>
        <v>28757</v>
      </c>
      <c r="K53" s="34">
        <f t="shared" si="12"/>
        <v>28757</v>
      </c>
      <c r="L53" s="79" t="s">
        <v>8</v>
      </c>
      <c r="M53" s="37"/>
    </row>
    <row r="54" spans="1:13" s="14" customFormat="1" ht="39" customHeight="1">
      <c r="A54" s="116"/>
      <c r="B54" s="155"/>
      <c r="C54" s="33" t="s">
        <v>168</v>
      </c>
      <c r="D54" s="33" t="s">
        <v>9</v>
      </c>
      <c r="E54" s="34">
        <v>0</v>
      </c>
      <c r="F54" s="18">
        <f>G54+H54+I54+J54+K54</f>
        <v>0</v>
      </c>
      <c r="G54" s="18">
        <v>0</v>
      </c>
      <c r="H54" s="18">
        <v>0</v>
      </c>
      <c r="I54" s="47">
        <v>0</v>
      </c>
      <c r="J54" s="47">
        <v>0</v>
      </c>
      <c r="K54" s="47">
        <v>0</v>
      </c>
      <c r="L54" s="80"/>
      <c r="M54" s="37"/>
    </row>
    <row r="55" spans="1:13" s="14" customFormat="1" ht="50.25" customHeight="1">
      <c r="A55" s="116"/>
      <c r="B55" s="155"/>
      <c r="C55" s="33" t="s">
        <v>168</v>
      </c>
      <c r="D55" s="33" t="s">
        <v>10</v>
      </c>
      <c r="E55" s="34">
        <v>0</v>
      </c>
      <c r="F55" s="18">
        <f>G55+H55+I55+J55+K55</f>
        <v>86271</v>
      </c>
      <c r="G55" s="18">
        <v>0</v>
      </c>
      <c r="H55" s="18">
        <v>0</v>
      </c>
      <c r="I55" s="47">
        <v>28757</v>
      </c>
      <c r="J55" s="47">
        <v>28757</v>
      </c>
      <c r="K55" s="47">
        <v>28757</v>
      </c>
      <c r="L55" s="80"/>
      <c r="M55" s="37"/>
    </row>
    <row r="56" spans="1:13" s="14" customFormat="1" ht="65.25" customHeight="1">
      <c r="A56" s="116"/>
      <c r="B56" s="155"/>
      <c r="C56" s="33" t="s">
        <v>168</v>
      </c>
      <c r="D56" s="33" t="s">
        <v>11</v>
      </c>
      <c r="E56" s="34">
        <v>0</v>
      </c>
      <c r="F56" s="18">
        <f>G56+H56+I56+J56+K56</f>
        <v>0</v>
      </c>
      <c r="G56" s="18">
        <v>0</v>
      </c>
      <c r="H56" s="18">
        <v>0</v>
      </c>
      <c r="I56" s="47">
        <v>0</v>
      </c>
      <c r="J56" s="47">
        <v>0</v>
      </c>
      <c r="K56" s="47">
        <v>0</v>
      </c>
      <c r="L56" s="80"/>
      <c r="M56" s="37"/>
    </row>
    <row r="57" spans="1:13" s="14" customFormat="1" ht="409.5" customHeight="1">
      <c r="A57" s="117"/>
      <c r="B57" s="156"/>
      <c r="C57" s="33" t="s">
        <v>168</v>
      </c>
      <c r="D57" s="33" t="s">
        <v>34</v>
      </c>
      <c r="E57" s="34">
        <v>0</v>
      </c>
      <c r="F57" s="18">
        <f>G57+H57+I57+J57+K57</f>
        <v>0</v>
      </c>
      <c r="G57" s="18">
        <v>0</v>
      </c>
      <c r="H57" s="18">
        <v>0</v>
      </c>
      <c r="I57" s="47">
        <v>0</v>
      </c>
      <c r="J57" s="47">
        <v>0</v>
      </c>
      <c r="K57" s="47">
        <v>0</v>
      </c>
      <c r="L57" s="81"/>
      <c r="M57" s="37"/>
    </row>
    <row r="58" spans="1:13" s="14" customFormat="1" ht="25.5" customHeight="1">
      <c r="A58" s="90" t="s">
        <v>188</v>
      </c>
      <c r="B58" s="154" t="s">
        <v>198</v>
      </c>
      <c r="C58" s="33" t="s">
        <v>44</v>
      </c>
      <c r="D58" s="33" t="s">
        <v>7</v>
      </c>
      <c r="E58" s="34">
        <f>E59+E60+E61+E62</f>
        <v>0</v>
      </c>
      <c r="F58" s="34">
        <f aca="true" t="shared" si="13" ref="F58:K58">F59+F60+F61+F62</f>
        <v>36620.96</v>
      </c>
      <c r="G58" s="34">
        <f t="shared" si="13"/>
        <v>0</v>
      </c>
      <c r="H58" s="34">
        <f t="shared" si="13"/>
        <v>34901.56</v>
      </c>
      <c r="I58" s="34">
        <f t="shared" si="13"/>
        <v>1719.4</v>
      </c>
      <c r="J58" s="34">
        <f t="shared" si="13"/>
        <v>0</v>
      </c>
      <c r="K58" s="34">
        <f t="shared" si="13"/>
        <v>0</v>
      </c>
      <c r="L58" s="79" t="s">
        <v>169</v>
      </c>
      <c r="M58" s="37"/>
    </row>
    <row r="59" spans="1:13" s="14" customFormat="1" ht="37.5" customHeight="1">
      <c r="A59" s="98"/>
      <c r="B59" s="144"/>
      <c r="C59" s="33" t="s">
        <v>44</v>
      </c>
      <c r="D59" s="33" t="s">
        <v>9</v>
      </c>
      <c r="E59" s="34">
        <v>0</v>
      </c>
      <c r="F59" s="18">
        <f>G59+H59+I59+J59+K59</f>
        <v>0</v>
      </c>
      <c r="G59" s="18">
        <v>0</v>
      </c>
      <c r="H59" s="18">
        <v>0</v>
      </c>
      <c r="I59" s="47">
        <v>0</v>
      </c>
      <c r="J59" s="47">
        <v>0</v>
      </c>
      <c r="K59" s="47">
        <v>0</v>
      </c>
      <c r="L59" s="84"/>
      <c r="M59" s="37"/>
    </row>
    <row r="60" spans="1:13" s="14" customFormat="1" ht="52.5" customHeight="1">
      <c r="A60" s="98"/>
      <c r="B60" s="144"/>
      <c r="C60" s="33" t="s">
        <v>44</v>
      </c>
      <c r="D60" s="33" t="s">
        <v>10</v>
      </c>
      <c r="E60" s="34">
        <v>0</v>
      </c>
      <c r="F60" s="18">
        <f>G60+H60+I60+J60+K60</f>
        <v>0</v>
      </c>
      <c r="G60" s="18">
        <v>0</v>
      </c>
      <c r="H60" s="18">
        <v>0</v>
      </c>
      <c r="I60" s="47">
        <v>0</v>
      </c>
      <c r="J60" s="47">
        <v>0</v>
      </c>
      <c r="K60" s="47">
        <v>0</v>
      </c>
      <c r="L60" s="84"/>
      <c r="M60" s="37"/>
    </row>
    <row r="61" spans="1:13" s="14" customFormat="1" ht="51.75" customHeight="1">
      <c r="A61" s="98"/>
      <c r="B61" s="144"/>
      <c r="C61" s="33" t="s">
        <v>44</v>
      </c>
      <c r="D61" s="33" t="s">
        <v>11</v>
      </c>
      <c r="E61" s="34">
        <v>0</v>
      </c>
      <c r="F61" s="18">
        <f>G61+H61+I61+J61+K61</f>
        <v>36620.96</v>
      </c>
      <c r="G61" s="18">
        <v>0</v>
      </c>
      <c r="H61" s="18">
        <v>34901.56</v>
      </c>
      <c r="I61" s="47">
        <v>1719.4</v>
      </c>
      <c r="J61" s="47">
        <v>0</v>
      </c>
      <c r="K61" s="47">
        <v>0</v>
      </c>
      <c r="L61" s="84"/>
      <c r="M61" s="37"/>
    </row>
    <row r="62" spans="1:13" s="14" customFormat="1" ht="58.5" customHeight="1">
      <c r="A62" s="99"/>
      <c r="B62" s="145"/>
      <c r="C62" s="33" t="s">
        <v>44</v>
      </c>
      <c r="D62" s="33" t="s">
        <v>34</v>
      </c>
      <c r="E62" s="34">
        <v>0</v>
      </c>
      <c r="F62" s="18">
        <f>G62+H62+I62+J62+K62</f>
        <v>0</v>
      </c>
      <c r="G62" s="18">
        <v>0</v>
      </c>
      <c r="H62" s="18">
        <v>0</v>
      </c>
      <c r="I62" s="47">
        <v>0</v>
      </c>
      <c r="J62" s="47">
        <v>0</v>
      </c>
      <c r="K62" s="47">
        <v>0</v>
      </c>
      <c r="L62" s="85"/>
      <c r="M62" s="37"/>
    </row>
    <row r="63" spans="1:13" s="14" customFormat="1" ht="22.5" customHeight="1">
      <c r="A63" s="140" t="s">
        <v>28</v>
      </c>
      <c r="B63" s="169" t="s">
        <v>111</v>
      </c>
      <c r="C63" s="33" t="s">
        <v>44</v>
      </c>
      <c r="D63" s="33" t="s">
        <v>7</v>
      </c>
      <c r="E63" s="34">
        <f aca="true" t="shared" si="14" ref="E63:K63">E64+E65+E66+E67</f>
        <v>117558</v>
      </c>
      <c r="F63" s="48">
        <f t="shared" si="14"/>
        <v>1114821.28875</v>
      </c>
      <c r="G63" s="44">
        <f t="shared" si="14"/>
        <v>141144.37</v>
      </c>
      <c r="H63" s="48">
        <f t="shared" si="14"/>
        <v>226531.08789</v>
      </c>
      <c r="I63" s="49">
        <f t="shared" si="14"/>
        <v>247945.5821</v>
      </c>
      <c r="J63" s="49">
        <f t="shared" si="14"/>
        <v>247463.21903</v>
      </c>
      <c r="K63" s="47">
        <f t="shared" si="14"/>
        <v>251737.02973</v>
      </c>
      <c r="L63" s="139" t="s">
        <v>18</v>
      </c>
      <c r="M63" s="139" t="s">
        <v>192</v>
      </c>
    </row>
    <row r="64" spans="1:13" s="14" customFormat="1" ht="38.25" customHeight="1">
      <c r="A64" s="172"/>
      <c r="B64" s="170"/>
      <c r="C64" s="33" t="s">
        <v>44</v>
      </c>
      <c r="D64" s="33" t="s">
        <v>9</v>
      </c>
      <c r="E64" s="34">
        <f>E69+E74+E79+E84</f>
        <v>0</v>
      </c>
      <c r="F64" s="48">
        <f>G64+H64+I64+J64+K64</f>
        <v>358699.40752</v>
      </c>
      <c r="G64" s="44">
        <f aca="true" t="shared" si="15" ref="G64:K66">G69+G74+G79+G84+G94+G99+G104</f>
        <v>28289.747</v>
      </c>
      <c r="H64" s="48">
        <f t="shared" si="15"/>
        <v>73127.66723</v>
      </c>
      <c r="I64" s="48">
        <f t="shared" si="15"/>
        <v>84689.85398</v>
      </c>
      <c r="J64" s="48">
        <f t="shared" si="15"/>
        <v>85101.08266</v>
      </c>
      <c r="K64" s="48">
        <f t="shared" si="15"/>
        <v>87491.05665</v>
      </c>
      <c r="L64" s="114"/>
      <c r="M64" s="114"/>
    </row>
    <row r="65" spans="1:13" s="14" customFormat="1" ht="51.75" customHeight="1">
      <c r="A65" s="172"/>
      <c r="B65" s="170"/>
      <c r="C65" s="33" t="s">
        <v>44</v>
      </c>
      <c r="D65" s="33" t="s">
        <v>10</v>
      </c>
      <c r="E65" s="34">
        <f>E70+E75+E80+E85</f>
        <v>117558</v>
      </c>
      <c r="F65" s="48">
        <f>G65+H65+I65+J65+K65</f>
        <v>581455.45192</v>
      </c>
      <c r="G65" s="44">
        <f t="shared" si="15"/>
        <v>110166.253</v>
      </c>
      <c r="H65" s="48">
        <f t="shared" si="15"/>
        <v>130545.57443</v>
      </c>
      <c r="I65" s="48">
        <f t="shared" si="15"/>
        <v>113450.53990999999</v>
      </c>
      <c r="J65" s="48">
        <f t="shared" si="15"/>
        <v>112919.51447</v>
      </c>
      <c r="K65" s="48">
        <f t="shared" si="15"/>
        <v>114373.57011</v>
      </c>
      <c r="L65" s="114"/>
      <c r="M65" s="114"/>
    </row>
    <row r="66" spans="1:13" s="14" customFormat="1" ht="66" customHeight="1">
      <c r="A66" s="172"/>
      <c r="B66" s="170"/>
      <c r="C66" s="33" t="s">
        <v>44</v>
      </c>
      <c r="D66" s="33" t="s">
        <v>11</v>
      </c>
      <c r="E66" s="34">
        <f>E71+E76+E81+E86</f>
        <v>0</v>
      </c>
      <c r="F66" s="48">
        <f>G66+H66+I66+J66+K66</f>
        <v>174666.42930999998</v>
      </c>
      <c r="G66" s="18">
        <f t="shared" si="15"/>
        <v>2688.37</v>
      </c>
      <c r="H66" s="48">
        <f t="shared" si="15"/>
        <v>22857.84623</v>
      </c>
      <c r="I66" s="48">
        <f t="shared" si="15"/>
        <v>49805.18821</v>
      </c>
      <c r="J66" s="48">
        <f t="shared" si="15"/>
        <v>49442.6219</v>
      </c>
      <c r="K66" s="48">
        <f t="shared" si="15"/>
        <v>49872.402969999996</v>
      </c>
      <c r="L66" s="114"/>
      <c r="M66" s="114"/>
    </row>
    <row r="67" spans="1:13" s="14" customFormat="1" ht="409.5" customHeight="1">
      <c r="A67" s="173"/>
      <c r="B67" s="171"/>
      <c r="C67" s="33" t="s">
        <v>44</v>
      </c>
      <c r="D67" s="33" t="s">
        <v>34</v>
      </c>
      <c r="E67" s="34">
        <f>E72+E77+E82+E87</f>
        <v>0</v>
      </c>
      <c r="F67" s="18">
        <f>G67+H67+I67+J67+K67</f>
        <v>0</v>
      </c>
      <c r="G67" s="18">
        <f>G72+G77+G82+G87+G97+G102+G107</f>
        <v>0</v>
      </c>
      <c r="H67" s="18">
        <f>H72+H77+H82+H87+H97+H102+H107</f>
        <v>0</v>
      </c>
      <c r="I67" s="47">
        <f>I72+I77+I82+I87+I97+I102+I107</f>
        <v>0</v>
      </c>
      <c r="J67" s="47">
        <f>J72+J77+J82+J87+J97+J102+J107</f>
        <v>0</v>
      </c>
      <c r="K67" s="47">
        <f>K72+K77+K82+K87+K97+K102+K107</f>
        <v>0</v>
      </c>
      <c r="L67" s="115"/>
      <c r="M67" s="115"/>
    </row>
    <row r="68" spans="1:13" s="14" customFormat="1" ht="24" customHeight="1">
      <c r="A68" s="157" t="s">
        <v>40</v>
      </c>
      <c r="B68" s="146" t="s">
        <v>130</v>
      </c>
      <c r="C68" s="17" t="s">
        <v>44</v>
      </c>
      <c r="D68" s="17" t="s">
        <v>7</v>
      </c>
      <c r="E68" s="18">
        <f aca="true" t="shared" si="16" ref="E68:K68">E69+E70+E71+E72</f>
        <v>7568</v>
      </c>
      <c r="F68" s="18">
        <f>F69+F70+F71+F72</f>
        <v>17368</v>
      </c>
      <c r="G68" s="18">
        <f t="shared" si="16"/>
        <v>8648</v>
      </c>
      <c r="H68" s="18">
        <f t="shared" si="16"/>
        <v>8720</v>
      </c>
      <c r="I68" s="47">
        <f t="shared" si="16"/>
        <v>0</v>
      </c>
      <c r="J68" s="47">
        <f t="shared" si="16"/>
        <v>0</v>
      </c>
      <c r="K68" s="47">
        <f t="shared" si="16"/>
        <v>0</v>
      </c>
      <c r="L68" s="139" t="s">
        <v>56</v>
      </c>
      <c r="M68" s="139"/>
    </row>
    <row r="69" spans="1:13" s="14" customFormat="1" ht="37.5" customHeight="1">
      <c r="A69" s="158"/>
      <c r="B69" s="147"/>
      <c r="C69" s="17" t="s">
        <v>44</v>
      </c>
      <c r="D69" s="17" t="s">
        <v>9</v>
      </c>
      <c r="E69" s="18">
        <v>0</v>
      </c>
      <c r="F69" s="18">
        <f>G69+H69+I69+J69+K69</f>
        <v>0</v>
      </c>
      <c r="G69" s="18">
        <v>0</v>
      </c>
      <c r="H69" s="18">
        <v>0</v>
      </c>
      <c r="I69" s="47">
        <v>0</v>
      </c>
      <c r="J69" s="47">
        <v>0</v>
      </c>
      <c r="K69" s="47">
        <v>0</v>
      </c>
      <c r="L69" s="114"/>
      <c r="M69" s="114"/>
    </row>
    <row r="70" spans="1:13" s="14" customFormat="1" ht="52.5" customHeight="1">
      <c r="A70" s="158"/>
      <c r="B70" s="147"/>
      <c r="C70" s="17" t="s">
        <v>44</v>
      </c>
      <c r="D70" s="17" t="s">
        <v>10</v>
      </c>
      <c r="E70" s="18">
        <v>7568</v>
      </c>
      <c r="F70" s="18">
        <f>G70+H70+I70+J70+K70</f>
        <v>17368</v>
      </c>
      <c r="G70" s="18">
        <v>8648</v>
      </c>
      <c r="H70" s="18">
        <v>8720</v>
      </c>
      <c r="I70" s="18">
        <v>0</v>
      </c>
      <c r="J70" s="18">
        <v>0</v>
      </c>
      <c r="K70" s="18">
        <v>0</v>
      </c>
      <c r="L70" s="114"/>
      <c r="M70" s="114"/>
    </row>
    <row r="71" spans="1:13" s="14" customFormat="1" ht="65.25" customHeight="1">
      <c r="A71" s="158"/>
      <c r="B71" s="147"/>
      <c r="C71" s="17" t="s">
        <v>44</v>
      </c>
      <c r="D71" s="17" t="s">
        <v>11</v>
      </c>
      <c r="E71" s="18">
        <v>0</v>
      </c>
      <c r="F71" s="18">
        <f>G71+H71+I71+J71+K71</f>
        <v>0</v>
      </c>
      <c r="G71" s="18">
        <v>0</v>
      </c>
      <c r="H71" s="18">
        <v>0</v>
      </c>
      <c r="I71" s="47">
        <v>0</v>
      </c>
      <c r="J71" s="47">
        <v>0</v>
      </c>
      <c r="K71" s="47">
        <v>0</v>
      </c>
      <c r="L71" s="114"/>
      <c r="M71" s="114"/>
    </row>
    <row r="72" spans="1:13" s="14" customFormat="1" ht="33" customHeight="1">
      <c r="A72" s="159"/>
      <c r="B72" s="148"/>
      <c r="C72" s="17" t="s">
        <v>44</v>
      </c>
      <c r="D72" s="17" t="s">
        <v>34</v>
      </c>
      <c r="E72" s="18">
        <v>0</v>
      </c>
      <c r="F72" s="18">
        <f>G72+H72+I72+J72+K72</f>
        <v>0</v>
      </c>
      <c r="G72" s="18">
        <v>0</v>
      </c>
      <c r="H72" s="18">
        <v>0</v>
      </c>
      <c r="I72" s="47">
        <v>0</v>
      </c>
      <c r="J72" s="47">
        <v>0</v>
      </c>
      <c r="K72" s="47">
        <v>0</v>
      </c>
      <c r="L72" s="115"/>
      <c r="M72" s="115"/>
    </row>
    <row r="73" spans="1:13" s="14" customFormat="1" ht="21.75" customHeight="1">
      <c r="A73" s="195" t="s">
        <v>45</v>
      </c>
      <c r="B73" s="169" t="s">
        <v>148</v>
      </c>
      <c r="C73" s="33" t="s">
        <v>44</v>
      </c>
      <c r="D73" s="33" t="s">
        <v>7</v>
      </c>
      <c r="E73" s="34">
        <f aca="true" t="shared" si="17" ref="E73:K73">E74+E75+E76+E77</f>
        <v>109705</v>
      </c>
      <c r="F73" s="34">
        <f>F74+F75+F76+F77</f>
        <v>79880</v>
      </c>
      <c r="G73" s="34">
        <f t="shared" si="17"/>
        <v>79880</v>
      </c>
      <c r="H73" s="34">
        <f t="shared" si="17"/>
        <v>0</v>
      </c>
      <c r="I73" s="70">
        <f t="shared" si="17"/>
        <v>0</v>
      </c>
      <c r="J73" s="70">
        <f t="shared" si="17"/>
        <v>0</v>
      </c>
      <c r="K73" s="70">
        <f t="shared" si="17"/>
        <v>0</v>
      </c>
      <c r="L73" s="139" t="s">
        <v>18</v>
      </c>
      <c r="M73" s="139"/>
    </row>
    <row r="74" spans="1:13" s="14" customFormat="1" ht="40.5" customHeight="1">
      <c r="A74" s="196"/>
      <c r="B74" s="170"/>
      <c r="C74" s="33" t="s">
        <v>44</v>
      </c>
      <c r="D74" s="33" t="s">
        <v>9</v>
      </c>
      <c r="E74" s="34">
        <v>0</v>
      </c>
      <c r="F74" s="34">
        <f aca="true" t="shared" si="18" ref="F74:F82">G74+H74+I74+J74+K74</f>
        <v>0</v>
      </c>
      <c r="G74" s="34">
        <v>0</v>
      </c>
      <c r="H74" s="34">
        <v>0</v>
      </c>
      <c r="I74" s="70">
        <v>0</v>
      </c>
      <c r="J74" s="70">
        <v>0</v>
      </c>
      <c r="K74" s="70">
        <v>0</v>
      </c>
      <c r="L74" s="114"/>
      <c r="M74" s="114"/>
    </row>
    <row r="75" spans="1:13" s="14" customFormat="1" ht="51.75" customHeight="1">
      <c r="A75" s="196"/>
      <c r="B75" s="170"/>
      <c r="C75" s="33" t="s">
        <v>44</v>
      </c>
      <c r="D75" s="33" t="s">
        <v>10</v>
      </c>
      <c r="E75" s="34">
        <v>109705</v>
      </c>
      <c r="F75" s="34">
        <f t="shared" si="18"/>
        <v>79880</v>
      </c>
      <c r="G75" s="34">
        <f>112472-47934+34834+49769-49769-21203+1711</f>
        <v>79880</v>
      </c>
      <c r="H75" s="34">
        <v>0</v>
      </c>
      <c r="I75" s="70">
        <v>0</v>
      </c>
      <c r="J75" s="70">
        <v>0</v>
      </c>
      <c r="K75" s="70">
        <v>0</v>
      </c>
      <c r="L75" s="114"/>
      <c r="M75" s="114"/>
    </row>
    <row r="76" spans="1:13" s="14" customFormat="1" ht="64.5" customHeight="1">
      <c r="A76" s="196"/>
      <c r="B76" s="170"/>
      <c r="C76" s="33" t="s">
        <v>44</v>
      </c>
      <c r="D76" s="33" t="s">
        <v>11</v>
      </c>
      <c r="E76" s="34">
        <v>0</v>
      </c>
      <c r="F76" s="34">
        <f t="shared" si="18"/>
        <v>0</v>
      </c>
      <c r="G76" s="34">
        <v>0</v>
      </c>
      <c r="H76" s="34">
        <v>0</v>
      </c>
      <c r="I76" s="70">
        <v>0</v>
      </c>
      <c r="J76" s="70">
        <v>0</v>
      </c>
      <c r="K76" s="70">
        <v>0</v>
      </c>
      <c r="L76" s="114"/>
      <c r="M76" s="114"/>
    </row>
    <row r="77" spans="1:13" s="14" customFormat="1" ht="159" customHeight="1">
      <c r="A77" s="197"/>
      <c r="B77" s="171"/>
      <c r="C77" s="33" t="s">
        <v>44</v>
      </c>
      <c r="D77" s="33" t="s">
        <v>34</v>
      </c>
      <c r="E77" s="34">
        <v>0</v>
      </c>
      <c r="F77" s="34">
        <f t="shared" si="18"/>
        <v>0</v>
      </c>
      <c r="G77" s="34">
        <v>0</v>
      </c>
      <c r="H77" s="34">
        <v>0</v>
      </c>
      <c r="I77" s="70">
        <v>0</v>
      </c>
      <c r="J77" s="70">
        <v>0</v>
      </c>
      <c r="K77" s="70">
        <v>0</v>
      </c>
      <c r="L77" s="115"/>
      <c r="M77" s="115"/>
    </row>
    <row r="78" spans="1:13" s="14" customFormat="1" ht="21.75" customHeight="1">
      <c r="A78" s="195" t="s">
        <v>96</v>
      </c>
      <c r="B78" s="169" t="s">
        <v>131</v>
      </c>
      <c r="C78" s="33" t="s">
        <v>44</v>
      </c>
      <c r="D78" s="33" t="s">
        <v>7</v>
      </c>
      <c r="E78" s="34">
        <f aca="true" t="shared" si="19" ref="E78:K78">E79+E80+E81+E82</f>
        <v>285</v>
      </c>
      <c r="F78" s="34">
        <f t="shared" si="18"/>
        <v>664</v>
      </c>
      <c r="G78" s="34">
        <f t="shared" si="19"/>
        <v>90</v>
      </c>
      <c r="H78" s="34">
        <f t="shared" si="19"/>
        <v>70</v>
      </c>
      <c r="I78" s="47">
        <f t="shared" si="19"/>
        <v>168</v>
      </c>
      <c r="J78" s="47">
        <f t="shared" si="19"/>
        <v>168</v>
      </c>
      <c r="K78" s="47">
        <f t="shared" si="19"/>
        <v>168</v>
      </c>
      <c r="L78" s="146" t="s">
        <v>18</v>
      </c>
      <c r="M78" s="139"/>
    </row>
    <row r="79" spans="1:13" s="14" customFormat="1" ht="40.5" customHeight="1">
      <c r="A79" s="196"/>
      <c r="B79" s="170"/>
      <c r="C79" s="33" t="s">
        <v>44</v>
      </c>
      <c r="D79" s="33" t="s">
        <v>9</v>
      </c>
      <c r="E79" s="34">
        <v>0</v>
      </c>
      <c r="F79" s="34">
        <f t="shared" si="18"/>
        <v>0</v>
      </c>
      <c r="G79" s="34">
        <v>0</v>
      </c>
      <c r="H79" s="34">
        <v>0</v>
      </c>
      <c r="I79" s="47">
        <v>0</v>
      </c>
      <c r="J79" s="47">
        <v>0</v>
      </c>
      <c r="K79" s="47">
        <v>0</v>
      </c>
      <c r="L79" s="147"/>
      <c r="M79" s="114"/>
    </row>
    <row r="80" spans="1:13" s="14" customFormat="1" ht="51.75" customHeight="1">
      <c r="A80" s="196"/>
      <c r="B80" s="170"/>
      <c r="C80" s="33" t="s">
        <v>44</v>
      </c>
      <c r="D80" s="33" t="s">
        <v>10</v>
      </c>
      <c r="E80" s="34">
        <v>285</v>
      </c>
      <c r="F80" s="34">
        <f t="shared" si="18"/>
        <v>664</v>
      </c>
      <c r="G80" s="34">
        <f>278-188</f>
        <v>90</v>
      </c>
      <c r="H80" s="34">
        <f>224-154</f>
        <v>70</v>
      </c>
      <c r="I80" s="18">
        <v>168</v>
      </c>
      <c r="J80" s="18">
        <v>168</v>
      </c>
      <c r="K80" s="18">
        <v>168</v>
      </c>
      <c r="L80" s="147"/>
      <c r="M80" s="114"/>
    </row>
    <row r="81" spans="1:13" s="14" customFormat="1" ht="64.5" customHeight="1">
      <c r="A81" s="196"/>
      <c r="B81" s="170"/>
      <c r="C81" s="33" t="s">
        <v>44</v>
      </c>
      <c r="D81" s="33" t="s">
        <v>11</v>
      </c>
      <c r="E81" s="34">
        <v>0</v>
      </c>
      <c r="F81" s="34">
        <f t="shared" si="18"/>
        <v>0</v>
      </c>
      <c r="G81" s="34">
        <v>0</v>
      </c>
      <c r="H81" s="34">
        <v>0</v>
      </c>
      <c r="I81" s="47">
        <v>0</v>
      </c>
      <c r="J81" s="47">
        <v>0</v>
      </c>
      <c r="K81" s="47">
        <v>0</v>
      </c>
      <c r="L81" s="147"/>
      <c r="M81" s="114"/>
    </row>
    <row r="82" spans="1:13" s="14" customFormat="1" ht="26.25" customHeight="1">
      <c r="A82" s="197"/>
      <c r="B82" s="171"/>
      <c r="C82" s="33" t="s">
        <v>44</v>
      </c>
      <c r="D82" s="33" t="s">
        <v>34</v>
      </c>
      <c r="E82" s="34">
        <v>0</v>
      </c>
      <c r="F82" s="34">
        <f t="shared" si="18"/>
        <v>0</v>
      </c>
      <c r="G82" s="34">
        <v>0</v>
      </c>
      <c r="H82" s="34">
        <v>0</v>
      </c>
      <c r="I82" s="47">
        <v>0</v>
      </c>
      <c r="J82" s="47">
        <v>0</v>
      </c>
      <c r="K82" s="47">
        <v>0</v>
      </c>
      <c r="L82" s="148"/>
      <c r="M82" s="115"/>
    </row>
    <row r="83" spans="1:13" s="14" customFormat="1" ht="21" customHeight="1">
      <c r="A83" s="194" t="s">
        <v>97</v>
      </c>
      <c r="B83" s="146" t="s">
        <v>132</v>
      </c>
      <c r="C83" s="17" t="s">
        <v>44</v>
      </c>
      <c r="D83" s="17" t="s">
        <v>7</v>
      </c>
      <c r="E83" s="18">
        <f aca="true" t="shared" si="20" ref="E83:K83">E84+E85+E86+E87</f>
        <v>0</v>
      </c>
      <c r="F83" s="18">
        <f t="shared" si="20"/>
        <v>866</v>
      </c>
      <c r="G83" s="18">
        <f t="shared" si="20"/>
        <v>138</v>
      </c>
      <c r="H83" s="18">
        <f t="shared" si="20"/>
        <v>248</v>
      </c>
      <c r="I83" s="47">
        <f t="shared" si="20"/>
        <v>154</v>
      </c>
      <c r="J83" s="47">
        <f t="shared" si="20"/>
        <v>160</v>
      </c>
      <c r="K83" s="47">
        <f t="shared" si="20"/>
        <v>166</v>
      </c>
      <c r="L83" s="146" t="s">
        <v>18</v>
      </c>
      <c r="M83" s="139"/>
    </row>
    <row r="84" spans="1:13" s="14" customFormat="1" ht="36" customHeight="1">
      <c r="A84" s="152"/>
      <c r="B84" s="147"/>
      <c r="C84" s="17" t="s">
        <v>44</v>
      </c>
      <c r="D84" s="17" t="s">
        <v>9</v>
      </c>
      <c r="E84" s="18">
        <v>0</v>
      </c>
      <c r="F84" s="18">
        <v>0</v>
      </c>
      <c r="G84" s="18">
        <v>0</v>
      </c>
      <c r="H84" s="18">
        <v>0</v>
      </c>
      <c r="I84" s="47">
        <v>0</v>
      </c>
      <c r="J84" s="47">
        <v>0</v>
      </c>
      <c r="K84" s="47">
        <v>0</v>
      </c>
      <c r="L84" s="147"/>
      <c r="M84" s="84"/>
    </row>
    <row r="85" spans="1:13" s="14" customFormat="1" ht="46.5" customHeight="1">
      <c r="A85" s="152"/>
      <c r="B85" s="147"/>
      <c r="C85" s="17" t="s">
        <v>44</v>
      </c>
      <c r="D85" s="17" t="s">
        <v>10</v>
      </c>
      <c r="E85" s="18">
        <v>0</v>
      </c>
      <c r="F85" s="18">
        <f>G85+H85+I85+J85+K85</f>
        <v>433</v>
      </c>
      <c r="G85" s="18">
        <f>92-23</f>
        <v>69</v>
      </c>
      <c r="H85" s="18">
        <v>124</v>
      </c>
      <c r="I85" s="18">
        <v>77</v>
      </c>
      <c r="J85" s="18">
        <v>80</v>
      </c>
      <c r="K85" s="18">
        <v>83</v>
      </c>
      <c r="L85" s="147"/>
      <c r="M85" s="84"/>
    </row>
    <row r="86" spans="1:13" s="14" customFormat="1" ht="63.75" customHeight="1">
      <c r="A86" s="152"/>
      <c r="B86" s="147"/>
      <c r="C86" s="17" t="s">
        <v>44</v>
      </c>
      <c r="D86" s="17" t="s">
        <v>11</v>
      </c>
      <c r="E86" s="18">
        <v>0</v>
      </c>
      <c r="F86" s="18">
        <f>G86+H86+I86+J86+K86</f>
        <v>433</v>
      </c>
      <c r="G86" s="18">
        <f>92-23</f>
        <v>69</v>
      </c>
      <c r="H86" s="18">
        <v>124</v>
      </c>
      <c r="I86" s="18">
        <v>77</v>
      </c>
      <c r="J86" s="18">
        <v>80</v>
      </c>
      <c r="K86" s="18">
        <v>83</v>
      </c>
      <c r="L86" s="147"/>
      <c r="M86" s="84"/>
    </row>
    <row r="87" spans="1:13" s="14" customFormat="1" ht="27.75" customHeight="1">
      <c r="A87" s="153"/>
      <c r="B87" s="148"/>
      <c r="C87" s="17" t="s">
        <v>44</v>
      </c>
      <c r="D87" s="17" t="s">
        <v>34</v>
      </c>
      <c r="E87" s="18">
        <v>0</v>
      </c>
      <c r="F87" s="18">
        <f>G87+H87+I87+J87+K87</f>
        <v>0</v>
      </c>
      <c r="G87" s="18">
        <v>0</v>
      </c>
      <c r="H87" s="18">
        <v>0</v>
      </c>
      <c r="I87" s="47">
        <v>0</v>
      </c>
      <c r="J87" s="47">
        <v>0</v>
      </c>
      <c r="K87" s="47">
        <v>0</v>
      </c>
      <c r="L87" s="148"/>
      <c r="M87" s="85"/>
    </row>
    <row r="88" spans="1:13" s="14" customFormat="1" ht="27.75" customHeight="1">
      <c r="A88" s="194" t="s">
        <v>187</v>
      </c>
      <c r="B88" s="146" t="s">
        <v>185</v>
      </c>
      <c r="C88" s="33" t="s">
        <v>168</v>
      </c>
      <c r="D88" s="33" t="s">
        <v>7</v>
      </c>
      <c r="E88" s="18">
        <f>E89+E90+E91+E92</f>
        <v>0</v>
      </c>
      <c r="F88" s="18">
        <f aca="true" t="shared" si="21" ref="F88:K88">F89+F90+F91+F92</f>
        <v>0</v>
      </c>
      <c r="G88" s="18">
        <f t="shared" si="21"/>
        <v>0</v>
      </c>
      <c r="H88" s="18">
        <f t="shared" si="21"/>
        <v>0</v>
      </c>
      <c r="I88" s="18">
        <f t="shared" si="21"/>
        <v>0</v>
      </c>
      <c r="J88" s="18">
        <f t="shared" si="21"/>
        <v>0</v>
      </c>
      <c r="K88" s="18">
        <f t="shared" si="21"/>
        <v>0</v>
      </c>
      <c r="L88" s="146" t="s">
        <v>8</v>
      </c>
      <c r="M88" s="79"/>
    </row>
    <row r="89" spans="1:13" s="14" customFormat="1" ht="39" customHeight="1">
      <c r="A89" s="116"/>
      <c r="B89" s="80"/>
      <c r="C89" s="33" t="s">
        <v>168</v>
      </c>
      <c r="D89" s="17" t="s">
        <v>9</v>
      </c>
      <c r="E89" s="18">
        <v>0</v>
      </c>
      <c r="F89" s="18">
        <f>G89+H89+I89+J89+K89</f>
        <v>0</v>
      </c>
      <c r="G89" s="18">
        <v>0</v>
      </c>
      <c r="H89" s="18">
        <v>0</v>
      </c>
      <c r="I89" s="47">
        <v>0</v>
      </c>
      <c r="J89" s="47">
        <v>0</v>
      </c>
      <c r="K89" s="47">
        <v>0</v>
      </c>
      <c r="L89" s="80"/>
      <c r="M89" s="80"/>
    </row>
    <row r="90" spans="1:13" s="14" customFormat="1" ht="48.75" customHeight="1">
      <c r="A90" s="116"/>
      <c r="B90" s="80"/>
      <c r="C90" s="33" t="s">
        <v>168</v>
      </c>
      <c r="D90" s="17" t="s">
        <v>10</v>
      </c>
      <c r="E90" s="18">
        <v>0</v>
      </c>
      <c r="F90" s="18">
        <f>G90+H90+I90+J90+K90</f>
        <v>0</v>
      </c>
      <c r="G90" s="18">
        <v>0</v>
      </c>
      <c r="H90" s="18">
        <v>0</v>
      </c>
      <c r="I90" s="47">
        <v>0</v>
      </c>
      <c r="J90" s="47">
        <v>0</v>
      </c>
      <c r="K90" s="47">
        <v>0</v>
      </c>
      <c r="L90" s="80"/>
      <c r="M90" s="80"/>
    </row>
    <row r="91" spans="1:13" s="14" customFormat="1" ht="51.75" customHeight="1">
      <c r="A91" s="116"/>
      <c r="B91" s="80"/>
      <c r="C91" s="33" t="s">
        <v>168</v>
      </c>
      <c r="D91" s="17" t="s">
        <v>11</v>
      </c>
      <c r="E91" s="18">
        <v>0</v>
      </c>
      <c r="F91" s="18">
        <f>G91+H91+I91+J91+K91</f>
        <v>0</v>
      </c>
      <c r="G91" s="18">
        <v>0</v>
      </c>
      <c r="H91" s="18">
        <v>0</v>
      </c>
      <c r="I91" s="47">
        <v>0</v>
      </c>
      <c r="J91" s="47">
        <v>0</v>
      </c>
      <c r="K91" s="47">
        <v>0</v>
      </c>
      <c r="L91" s="80"/>
      <c r="M91" s="80"/>
    </row>
    <row r="92" spans="1:13" s="14" customFormat="1" ht="319.5" customHeight="1">
      <c r="A92" s="117"/>
      <c r="B92" s="81"/>
      <c r="C92" s="33" t="s">
        <v>168</v>
      </c>
      <c r="D92" s="17" t="s">
        <v>34</v>
      </c>
      <c r="E92" s="18">
        <v>0</v>
      </c>
      <c r="F92" s="18">
        <f>G92+H92+I92+J92+K92</f>
        <v>0</v>
      </c>
      <c r="G92" s="18">
        <v>0</v>
      </c>
      <c r="H92" s="18">
        <v>0</v>
      </c>
      <c r="I92" s="47">
        <v>0</v>
      </c>
      <c r="J92" s="47">
        <v>0</v>
      </c>
      <c r="K92" s="47">
        <v>0</v>
      </c>
      <c r="L92" s="81"/>
      <c r="M92" s="81"/>
    </row>
    <row r="93" spans="1:13" s="14" customFormat="1" ht="27.75" customHeight="1">
      <c r="A93" s="151" t="s">
        <v>102</v>
      </c>
      <c r="B93" s="146" t="s">
        <v>133</v>
      </c>
      <c r="C93" s="17" t="s">
        <v>44</v>
      </c>
      <c r="D93" s="17" t="s">
        <v>7</v>
      </c>
      <c r="E93" s="18">
        <f aca="true" t="shared" si="22" ref="E93:J93">E94+E95+E96+E97</f>
        <v>0</v>
      </c>
      <c r="F93" s="48">
        <f t="shared" si="22"/>
        <v>647242.2887500001</v>
      </c>
      <c r="G93" s="44">
        <f t="shared" si="22"/>
        <v>52388.37</v>
      </c>
      <c r="H93" s="48">
        <f t="shared" si="22"/>
        <v>135422.08789</v>
      </c>
      <c r="I93" s="49">
        <f t="shared" si="22"/>
        <v>151231.5821</v>
      </c>
      <c r="J93" s="49">
        <f t="shared" si="22"/>
        <v>151966.21903</v>
      </c>
      <c r="K93" s="49">
        <f>K94+K95+K96+K97</f>
        <v>156234.02973</v>
      </c>
      <c r="L93" s="139" t="s">
        <v>18</v>
      </c>
      <c r="M93" s="89"/>
    </row>
    <row r="94" spans="1:13" s="14" customFormat="1" ht="39" customHeight="1">
      <c r="A94" s="116"/>
      <c r="B94" s="84"/>
      <c r="C94" s="17" t="s">
        <v>44</v>
      </c>
      <c r="D94" s="17" t="s">
        <v>9</v>
      </c>
      <c r="E94" s="18">
        <v>0</v>
      </c>
      <c r="F94" s="48">
        <f>G94+H94+I94+J94+K94</f>
        <v>358699.40752</v>
      </c>
      <c r="G94" s="44">
        <v>28289.747</v>
      </c>
      <c r="H94" s="48">
        <f>73130.21+0.01-0.01+0.00398-2.54675</f>
        <v>73127.66723</v>
      </c>
      <c r="I94" s="49">
        <v>84689.85398</v>
      </c>
      <c r="J94" s="49">
        <v>85101.08266</v>
      </c>
      <c r="K94" s="49">
        <v>87491.05665</v>
      </c>
      <c r="L94" s="84"/>
      <c r="M94" s="84"/>
    </row>
    <row r="95" spans="1:13" s="14" customFormat="1" ht="48" customHeight="1">
      <c r="A95" s="116"/>
      <c r="B95" s="84"/>
      <c r="C95" s="17" t="s">
        <v>44</v>
      </c>
      <c r="D95" s="17" t="s">
        <v>10</v>
      </c>
      <c r="E95" s="18">
        <v>0</v>
      </c>
      <c r="F95" s="48">
        <f>G95+H95+I95+J95+K95</f>
        <v>225453.45192</v>
      </c>
      <c r="G95" s="44">
        <f>49769-28289.747</f>
        <v>21479.253</v>
      </c>
      <c r="H95" s="49">
        <f>40305.79-0.01+7463.48+0.03-0.02799-1.68758</f>
        <v>47767.57442999999</v>
      </c>
      <c r="I95" s="49">
        <f>51418.83991-0.3</f>
        <v>51418.53991</v>
      </c>
      <c r="J95" s="49">
        <v>51668.51447</v>
      </c>
      <c r="K95" s="49">
        <v>53119.57011</v>
      </c>
      <c r="L95" s="84"/>
      <c r="M95" s="84"/>
    </row>
    <row r="96" spans="1:13" s="14" customFormat="1" ht="60.75" customHeight="1">
      <c r="A96" s="116"/>
      <c r="B96" s="84"/>
      <c r="C96" s="17" t="s">
        <v>44</v>
      </c>
      <c r="D96" s="17" t="s">
        <v>11</v>
      </c>
      <c r="E96" s="18">
        <v>0</v>
      </c>
      <c r="F96" s="48">
        <f>G96+H96+I96+J96+K96</f>
        <v>63089.42930999999</v>
      </c>
      <c r="G96" s="18">
        <v>2619.37</v>
      </c>
      <c r="H96" s="48">
        <f>21990.53-7463.68-0.00377</f>
        <v>14526.84623</v>
      </c>
      <c r="I96" s="49">
        <v>15123.18821</v>
      </c>
      <c r="J96" s="49">
        <v>15196.6219</v>
      </c>
      <c r="K96" s="49">
        <v>15623.40297</v>
      </c>
      <c r="L96" s="84"/>
      <c r="M96" s="84"/>
    </row>
    <row r="97" spans="1:13" s="14" customFormat="1" ht="27.75" customHeight="1">
      <c r="A97" s="117"/>
      <c r="B97" s="85"/>
      <c r="C97" s="17" t="s">
        <v>44</v>
      </c>
      <c r="D97" s="17" t="s">
        <v>34</v>
      </c>
      <c r="E97" s="18">
        <v>0</v>
      </c>
      <c r="F97" s="18">
        <f>G97+H97+I97+J97+K97</f>
        <v>0</v>
      </c>
      <c r="G97" s="18">
        <v>0</v>
      </c>
      <c r="H97" s="18">
        <v>0</v>
      </c>
      <c r="I97" s="47">
        <v>0</v>
      </c>
      <c r="J97" s="47">
        <v>0</v>
      </c>
      <c r="K97" s="47">
        <v>0</v>
      </c>
      <c r="L97" s="85"/>
      <c r="M97" s="85"/>
    </row>
    <row r="98" spans="1:13" s="14" customFormat="1" ht="27.75" customHeight="1" hidden="1">
      <c r="A98" s="90" t="s">
        <v>115</v>
      </c>
      <c r="B98" s="79" t="s">
        <v>116</v>
      </c>
      <c r="C98" s="17" t="s">
        <v>44</v>
      </c>
      <c r="D98" s="17" t="s">
        <v>7</v>
      </c>
      <c r="E98" s="18">
        <f>E99+E100+E101+E102</f>
        <v>0</v>
      </c>
      <c r="F98" s="18">
        <f aca="true" t="shared" si="23" ref="F98:K98">F99+F100+F101+F102</f>
        <v>0</v>
      </c>
      <c r="G98" s="18">
        <f t="shared" si="23"/>
        <v>0</v>
      </c>
      <c r="H98" s="18">
        <f t="shared" si="23"/>
        <v>0</v>
      </c>
      <c r="I98" s="47">
        <f t="shared" si="23"/>
        <v>0</v>
      </c>
      <c r="J98" s="47">
        <f t="shared" si="23"/>
        <v>0</v>
      </c>
      <c r="K98" s="47">
        <f t="shared" si="23"/>
        <v>0</v>
      </c>
      <c r="L98" s="139" t="s">
        <v>18</v>
      </c>
      <c r="M98" s="89"/>
    </row>
    <row r="99" spans="1:13" s="14" customFormat="1" ht="39" customHeight="1" hidden="1">
      <c r="A99" s="116"/>
      <c r="B99" s="80"/>
      <c r="C99" s="17" t="s">
        <v>44</v>
      </c>
      <c r="D99" s="17" t="s">
        <v>9</v>
      </c>
      <c r="E99" s="18">
        <v>0</v>
      </c>
      <c r="F99" s="18">
        <f>G99+H99+I99+J99+K99</f>
        <v>0</v>
      </c>
      <c r="G99" s="18">
        <v>0</v>
      </c>
      <c r="H99" s="18">
        <f>75010-75010</f>
        <v>0</v>
      </c>
      <c r="I99" s="47">
        <f>53924-53924</f>
        <v>0</v>
      </c>
      <c r="J99" s="47">
        <f>53924-53924</f>
        <v>0</v>
      </c>
      <c r="K99" s="47">
        <f>53924-53924</f>
        <v>0</v>
      </c>
      <c r="L99" s="84"/>
      <c r="M99" s="84"/>
    </row>
    <row r="100" spans="1:13" s="14" customFormat="1" ht="50.25" customHeight="1" hidden="1">
      <c r="A100" s="116"/>
      <c r="B100" s="80"/>
      <c r="C100" s="17" t="s">
        <v>44</v>
      </c>
      <c r="D100" s="17" t="s">
        <v>10</v>
      </c>
      <c r="E100" s="18">
        <v>0</v>
      </c>
      <c r="F100" s="18">
        <f>G100+H100+I100+J100+K100</f>
        <v>0</v>
      </c>
      <c r="G100" s="18">
        <v>0</v>
      </c>
      <c r="H100" s="18">
        <v>0</v>
      </c>
      <c r="I100" s="47">
        <v>0</v>
      </c>
      <c r="J100" s="47">
        <v>0</v>
      </c>
      <c r="K100" s="47">
        <v>0</v>
      </c>
      <c r="L100" s="84"/>
      <c r="M100" s="84"/>
    </row>
    <row r="101" spans="1:13" s="14" customFormat="1" ht="62.25" customHeight="1" hidden="1">
      <c r="A101" s="116"/>
      <c r="B101" s="80"/>
      <c r="C101" s="17" t="s">
        <v>44</v>
      </c>
      <c r="D101" s="17" t="s">
        <v>11</v>
      </c>
      <c r="E101" s="18">
        <v>0</v>
      </c>
      <c r="F101" s="18">
        <f>G101+H101+I101+J101+K101</f>
        <v>0</v>
      </c>
      <c r="G101" s="18">
        <v>0</v>
      </c>
      <c r="H101" s="18">
        <v>0</v>
      </c>
      <c r="I101" s="47">
        <v>0</v>
      </c>
      <c r="J101" s="47">
        <v>0</v>
      </c>
      <c r="K101" s="47">
        <v>0</v>
      </c>
      <c r="L101" s="84"/>
      <c r="M101" s="84"/>
    </row>
    <row r="102" spans="1:13" s="14" customFormat="1" ht="30" customHeight="1" hidden="1">
      <c r="A102" s="117"/>
      <c r="B102" s="81"/>
      <c r="C102" s="17" t="s">
        <v>44</v>
      </c>
      <c r="D102" s="17" t="s">
        <v>34</v>
      </c>
      <c r="E102" s="18">
        <v>0</v>
      </c>
      <c r="F102" s="18">
        <f>G102+H102+I102+J102+K102</f>
        <v>0</v>
      </c>
      <c r="G102" s="18">
        <v>0</v>
      </c>
      <c r="H102" s="18">
        <v>0</v>
      </c>
      <c r="I102" s="47">
        <v>0</v>
      </c>
      <c r="J102" s="47">
        <v>0</v>
      </c>
      <c r="K102" s="47">
        <v>0</v>
      </c>
      <c r="L102" s="85"/>
      <c r="M102" s="85"/>
    </row>
    <row r="103" spans="1:13" s="14" customFormat="1" ht="27.75" customHeight="1">
      <c r="A103" s="90" t="s">
        <v>117</v>
      </c>
      <c r="B103" s="79" t="s">
        <v>149</v>
      </c>
      <c r="C103" s="17" t="s">
        <v>118</v>
      </c>
      <c r="D103" s="17" t="s">
        <v>7</v>
      </c>
      <c r="E103" s="18">
        <f>E104+E105+E106+E107</f>
        <v>0</v>
      </c>
      <c r="F103" s="18">
        <f aca="true" t="shared" si="24" ref="F103:K103">F104+F105+F106+F107</f>
        <v>368801</v>
      </c>
      <c r="G103" s="18">
        <f t="shared" si="24"/>
        <v>0</v>
      </c>
      <c r="H103" s="18">
        <f t="shared" si="24"/>
        <v>82071</v>
      </c>
      <c r="I103" s="47">
        <f t="shared" si="24"/>
        <v>96392</v>
      </c>
      <c r="J103" s="47">
        <f t="shared" si="24"/>
        <v>95169</v>
      </c>
      <c r="K103" s="47">
        <f t="shared" si="24"/>
        <v>95169</v>
      </c>
      <c r="L103" s="139" t="s">
        <v>18</v>
      </c>
      <c r="M103" s="89"/>
    </row>
    <row r="104" spans="1:13" s="14" customFormat="1" ht="42" customHeight="1">
      <c r="A104" s="98"/>
      <c r="B104" s="84"/>
      <c r="C104" s="17" t="s">
        <v>118</v>
      </c>
      <c r="D104" s="17" t="s">
        <v>9</v>
      </c>
      <c r="E104" s="18">
        <v>0</v>
      </c>
      <c r="F104" s="18">
        <f>G104+H104+I104+J104+K104</f>
        <v>0</v>
      </c>
      <c r="G104" s="18">
        <v>0</v>
      </c>
      <c r="H104" s="18">
        <v>0</v>
      </c>
      <c r="I104" s="47">
        <v>0</v>
      </c>
      <c r="J104" s="47">
        <v>0</v>
      </c>
      <c r="K104" s="47">
        <v>0</v>
      </c>
      <c r="L104" s="84"/>
      <c r="M104" s="84"/>
    </row>
    <row r="105" spans="1:13" s="14" customFormat="1" ht="49.5" customHeight="1">
      <c r="A105" s="98"/>
      <c r="B105" s="84"/>
      <c r="C105" s="17" t="s">
        <v>118</v>
      </c>
      <c r="D105" s="17" t="s">
        <v>10</v>
      </c>
      <c r="E105" s="18">
        <v>0</v>
      </c>
      <c r="F105" s="18">
        <f>G105+H105+I105+J105+K105</f>
        <v>257657</v>
      </c>
      <c r="G105" s="18">
        <v>0</v>
      </c>
      <c r="H105" s="18">
        <v>73864</v>
      </c>
      <c r="I105" s="47">
        <f>53100+7903+784</f>
        <v>61787</v>
      </c>
      <c r="J105" s="47">
        <f>53100+7903</f>
        <v>61003</v>
      </c>
      <c r="K105" s="47">
        <f>53100+7903</f>
        <v>61003</v>
      </c>
      <c r="L105" s="84"/>
      <c r="M105" s="84"/>
    </row>
    <row r="106" spans="1:13" s="14" customFormat="1" ht="65.25" customHeight="1">
      <c r="A106" s="98"/>
      <c r="B106" s="84"/>
      <c r="C106" s="17" t="s">
        <v>118</v>
      </c>
      <c r="D106" s="17" t="s">
        <v>11</v>
      </c>
      <c r="E106" s="18">
        <v>0</v>
      </c>
      <c r="F106" s="18">
        <f>G106+H106+I106+J106+K106</f>
        <v>111144</v>
      </c>
      <c r="G106" s="18">
        <v>0</v>
      </c>
      <c r="H106" s="18">
        <v>8207</v>
      </c>
      <c r="I106" s="47">
        <f>28971+5195+439</f>
        <v>34605</v>
      </c>
      <c r="J106" s="47">
        <f>28971+5195</f>
        <v>34166</v>
      </c>
      <c r="K106" s="47">
        <f>28971+5195</f>
        <v>34166</v>
      </c>
      <c r="L106" s="84"/>
      <c r="M106" s="84"/>
    </row>
    <row r="107" spans="1:13" s="14" customFormat="1" ht="31.5" customHeight="1">
      <c r="A107" s="99"/>
      <c r="B107" s="85"/>
      <c r="C107" s="17" t="s">
        <v>118</v>
      </c>
      <c r="D107" s="17" t="s">
        <v>34</v>
      </c>
      <c r="E107" s="18">
        <v>0</v>
      </c>
      <c r="F107" s="18">
        <f>G107+H107+I107+J107+K107</f>
        <v>0</v>
      </c>
      <c r="G107" s="18">
        <v>0</v>
      </c>
      <c r="H107" s="18">
        <v>0</v>
      </c>
      <c r="I107" s="47">
        <v>0</v>
      </c>
      <c r="J107" s="47">
        <v>0</v>
      </c>
      <c r="K107" s="47">
        <v>0</v>
      </c>
      <c r="L107" s="85"/>
      <c r="M107" s="85"/>
    </row>
    <row r="108" spans="1:13" s="14" customFormat="1" ht="24" customHeight="1">
      <c r="A108" s="151" t="s">
        <v>29</v>
      </c>
      <c r="B108" s="146" t="s">
        <v>112</v>
      </c>
      <c r="C108" s="17" t="s">
        <v>44</v>
      </c>
      <c r="D108" s="17" t="s">
        <v>7</v>
      </c>
      <c r="E108" s="18">
        <f>E113</f>
        <v>0</v>
      </c>
      <c r="F108" s="18">
        <f aca="true" t="shared" si="25" ref="F108:K108">F113</f>
        <v>27029.5</v>
      </c>
      <c r="G108" s="18">
        <f t="shared" si="25"/>
        <v>10200</v>
      </c>
      <c r="H108" s="18">
        <f t="shared" si="25"/>
        <v>6829.5</v>
      </c>
      <c r="I108" s="47">
        <f t="shared" si="25"/>
        <v>10000</v>
      </c>
      <c r="J108" s="47">
        <f t="shared" si="25"/>
        <v>0</v>
      </c>
      <c r="K108" s="47">
        <f t="shared" si="25"/>
        <v>0</v>
      </c>
      <c r="L108" s="139" t="s">
        <v>18</v>
      </c>
      <c r="M108" s="79" t="s">
        <v>193</v>
      </c>
    </row>
    <row r="109" spans="1:13" s="14" customFormat="1" ht="39.75" customHeight="1">
      <c r="A109" s="116"/>
      <c r="B109" s="80"/>
      <c r="C109" s="17" t="s">
        <v>44</v>
      </c>
      <c r="D109" s="17" t="s">
        <v>9</v>
      </c>
      <c r="E109" s="18">
        <f>E114</f>
        <v>0</v>
      </c>
      <c r="F109" s="18">
        <f aca="true" t="shared" si="26" ref="F109:K109">F114</f>
        <v>0</v>
      </c>
      <c r="G109" s="18">
        <f t="shared" si="26"/>
        <v>0</v>
      </c>
      <c r="H109" s="18">
        <f t="shared" si="26"/>
        <v>0</v>
      </c>
      <c r="I109" s="47">
        <f t="shared" si="26"/>
        <v>0</v>
      </c>
      <c r="J109" s="47">
        <f t="shared" si="26"/>
        <v>0</v>
      </c>
      <c r="K109" s="47">
        <f t="shared" si="26"/>
        <v>0</v>
      </c>
      <c r="L109" s="84"/>
      <c r="M109" s="80"/>
    </row>
    <row r="110" spans="1:13" s="14" customFormat="1" ht="50.25" customHeight="1">
      <c r="A110" s="116"/>
      <c r="B110" s="80"/>
      <c r="C110" s="17" t="s">
        <v>44</v>
      </c>
      <c r="D110" s="17" t="s">
        <v>10</v>
      </c>
      <c r="E110" s="18">
        <f aca="true" t="shared" si="27" ref="E110:F112">E115</f>
        <v>0</v>
      </c>
      <c r="F110" s="18">
        <f t="shared" si="27"/>
        <v>0</v>
      </c>
      <c r="G110" s="18">
        <f aca="true" t="shared" si="28" ref="G110:K112">G115</f>
        <v>0</v>
      </c>
      <c r="H110" s="18">
        <f t="shared" si="28"/>
        <v>0</v>
      </c>
      <c r="I110" s="47">
        <f t="shared" si="28"/>
        <v>0</v>
      </c>
      <c r="J110" s="47">
        <f t="shared" si="28"/>
        <v>0</v>
      </c>
      <c r="K110" s="47">
        <f t="shared" si="28"/>
        <v>0</v>
      </c>
      <c r="L110" s="84"/>
      <c r="M110" s="80"/>
    </row>
    <row r="111" spans="1:13" s="14" customFormat="1" ht="62.25" customHeight="1">
      <c r="A111" s="116"/>
      <c r="B111" s="80"/>
      <c r="C111" s="17" t="s">
        <v>44</v>
      </c>
      <c r="D111" s="17" t="s">
        <v>11</v>
      </c>
      <c r="E111" s="18">
        <f t="shared" si="27"/>
        <v>0</v>
      </c>
      <c r="F111" s="18">
        <f t="shared" si="27"/>
        <v>27029.5</v>
      </c>
      <c r="G111" s="18">
        <f t="shared" si="28"/>
        <v>10200</v>
      </c>
      <c r="H111" s="18">
        <f t="shared" si="28"/>
        <v>6829.5</v>
      </c>
      <c r="I111" s="47">
        <f t="shared" si="28"/>
        <v>10000</v>
      </c>
      <c r="J111" s="47">
        <f t="shared" si="28"/>
        <v>0</v>
      </c>
      <c r="K111" s="47">
        <f t="shared" si="28"/>
        <v>0</v>
      </c>
      <c r="L111" s="84"/>
      <c r="M111" s="80"/>
    </row>
    <row r="112" spans="1:13" s="14" customFormat="1" ht="30" customHeight="1">
      <c r="A112" s="117"/>
      <c r="B112" s="81"/>
      <c r="C112" s="17" t="s">
        <v>44</v>
      </c>
      <c r="D112" s="17" t="s">
        <v>34</v>
      </c>
      <c r="E112" s="18">
        <f t="shared" si="27"/>
        <v>0</v>
      </c>
      <c r="F112" s="18">
        <f t="shared" si="27"/>
        <v>0</v>
      </c>
      <c r="G112" s="18">
        <f t="shared" si="28"/>
        <v>0</v>
      </c>
      <c r="H112" s="18">
        <f t="shared" si="28"/>
        <v>0</v>
      </c>
      <c r="I112" s="47">
        <f t="shared" si="28"/>
        <v>0</v>
      </c>
      <c r="J112" s="47">
        <f t="shared" si="28"/>
        <v>0</v>
      </c>
      <c r="K112" s="47">
        <f t="shared" si="28"/>
        <v>0</v>
      </c>
      <c r="L112" s="85"/>
      <c r="M112" s="81"/>
    </row>
    <row r="113" spans="1:13" s="14" customFormat="1" ht="22.5" customHeight="1">
      <c r="A113" s="151" t="s">
        <v>31</v>
      </c>
      <c r="B113" s="146" t="s">
        <v>186</v>
      </c>
      <c r="C113" s="17" t="s">
        <v>44</v>
      </c>
      <c r="D113" s="17" t="s">
        <v>7</v>
      </c>
      <c r="E113" s="18">
        <f>E114+E115+E116+E117</f>
        <v>0</v>
      </c>
      <c r="F113" s="18">
        <f aca="true" t="shared" si="29" ref="F113:K113">F114+F115+F116+F117</f>
        <v>27029.5</v>
      </c>
      <c r="G113" s="18">
        <f t="shared" si="29"/>
        <v>10200</v>
      </c>
      <c r="H113" s="18">
        <f t="shared" si="29"/>
        <v>6829.5</v>
      </c>
      <c r="I113" s="47">
        <f t="shared" si="29"/>
        <v>10000</v>
      </c>
      <c r="J113" s="47">
        <f t="shared" si="29"/>
        <v>0</v>
      </c>
      <c r="K113" s="47">
        <f t="shared" si="29"/>
        <v>0</v>
      </c>
      <c r="L113" s="139" t="s">
        <v>18</v>
      </c>
      <c r="M113" s="89"/>
    </row>
    <row r="114" spans="1:13" s="14" customFormat="1" ht="41.25" customHeight="1">
      <c r="A114" s="116"/>
      <c r="B114" s="80"/>
      <c r="C114" s="17" t="s">
        <v>44</v>
      </c>
      <c r="D114" s="17" t="s">
        <v>9</v>
      </c>
      <c r="E114" s="18">
        <v>0</v>
      </c>
      <c r="F114" s="18">
        <f>G114+H114+I114+J114+K114</f>
        <v>0</v>
      </c>
      <c r="G114" s="18">
        <v>0</v>
      </c>
      <c r="H114" s="18">
        <v>0</v>
      </c>
      <c r="I114" s="47">
        <v>0</v>
      </c>
      <c r="J114" s="47">
        <v>0</v>
      </c>
      <c r="K114" s="47">
        <v>0</v>
      </c>
      <c r="L114" s="84"/>
      <c r="M114" s="84"/>
    </row>
    <row r="115" spans="1:13" s="14" customFormat="1" ht="48.75" customHeight="1">
      <c r="A115" s="116"/>
      <c r="B115" s="80"/>
      <c r="C115" s="17" t="s">
        <v>44</v>
      </c>
      <c r="D115" s="17" t="s">
        <v>10</v>
      </c>
      <c r="E115" s="18">
        <v>0</v>
      </c>
      <c r="F115" s="18">
        <f>G115+H115+I115+J115+K115</f>
        <v>0</v>
      </c>
      <c r="G115" s="18">
        <v>0</v>
      </c>
      <c r="H115" s="18">
        <v>0</v>
      </c>
      <c r="I115" s="47">
        <v>0</v>
      </c>
      <c r="J115" s="47">
        <v>0</v>
      </c>
      <c r="K115" s="47">
        <v>0</v>
      </c>
      <c r="L115" s="84"/>
      <c r="M115" s="84"/>
    </row>
    <row r="116" spans="1:13" s="14" customFormat="1" ht="63" customHeight="1">
      <c r="A116" s="116"/>
      <c r="B116" s="80"/>
      <c r="C116" s="17" t="s">
        <v>44</v>
      </c>
      <c r="D116" s="17" t="s">
        <v>11</v>
      </c>
      <c r="E116" s="18">
        <v>0</v>
      </c>
      <c r="F116" s="18">
        <f>G116+H116+I116+J116+K116</f>
        <v>27029.5</v>
      </c>
      <c r="G116" s="18">
        <f>0+7000+3200</f>
        <v>10200</v>
      </c>
      <c r="H116" s="18">
        <f>6911.5-82</f>
        <v>6829.5</v>
      </c>
      <c r="I116" s="47">
        <v>10000</v>
      </c>
      <c r="J116" s="47">
        <v>0</v>
      </c>
      <c r="K116" s="47">
        <v>0</v>
      </c>
      <c r="L116" s="84"/>
      <c r="M116" s="84"/>
    </row>
    <row r="117" spans="1:13" s="14" customFormat="1" ht="27.75" customHeight="1">
      <c r="A117" s="117"/>
      <c r="B117" s="81"/>
      <c r="C117" s="17" t="s">
        <v>44</v>
      </c>
      <c r="D117" s="17" t="s">
        <v>34</v>
      </c>
      <c r="E117" s="18">
        <v>0</v>
      </c>
      <c r="F117" s="18">
        <f>G117+H117+I117+J117+K117</f>
        <v>0</v>
      </c>
      <c r="G117" s="18">
        <v>0</v>
      </c>
      <c r="H117" s="18">
        <v>0</v>
      </c>
      <c r="I117" s="47">
        <v>0</v>
      </c>
      <c r="J117" s="47">
        <v>0</v>
      </c>
      <c r="K117" s="47">
        <v>0</v>
      </c>
      <c r="L117" s="85"/>
      <c r="M117" s="85"/>
    </row>
    <row r="118" spans="1:13" s="14" customFormat="1" ht="21" customHeight="1">
      <c r="A118" s="151" t="s">
        <v>30</v>
      </c>
      <c r="B118" s="146" t="s">
        <v>51</v>
      </c>
      <c r="C118" s="17" t="s">
        <v>44</v>
      </c>
      <c r="D118" s="17" t="s">
        <v>7</v>
      </c>
      <c r="E118" s="18">
        <f aca="true" t="shared" si="30" ref="E118:K118">E119+E120+E121+E122</f>
        <v>0</v>
      </c>
      <c r="F118" s="18">
        <f>F119+F120+F121+F122</f>
        <v>273031.49</v>
      </c>
      <c r="G118" s="18">
        <f t="shared" si="30"/>
        <v>81972.55</v>
      </c>
      <c r="H118" s="18">
        <f>H119+H120+H121+H122</f>
        <v>170407.09000000003</v>
      </c>
      <c r="I118" s="47">
        <f t="shared" si="30"/>
        <v>7823.9</v>
      </c>
      <c r="J118" s="47">
        <f t="shared" si="30"/>
        <v>5215.450000000001</v>
      </c>
      <c r="K118" s="47">
        <f t="shared" si="30"/>
        <v>7612.5</v>
      </c>
      <c r="L118" s="139" t="s">
        <v>18</v>
      </c>
      <c r="M118" s="139" t="s">
        <v>197</v>
      </c>
    </row>
    <row r="119" spans="1:13" s="14" customFormat="1" ht="40.5" customHeight="1">
      <c r="A119" s="152"/>
      <c r="B119" s="147"/>
      <c r="C119" s="17" t="s">
        <v>44</v>
      </c>
      <c r="D119" s="17" t="s">
        <v>9</v>
      </c>
      <c r="E119" s="18">
        <f>E124+E129+E134+E139</f>
        <v>0</v>
      </c>
      <c r="F119" s="18">
        <f>G119+H119+I119+J119+K119</f>
        <v>11497.99</v>
      </c>
      <c r="G119" s="18">
        <f>G124+G129+G134+G139+G144</f>
        <v>0</v>
      </c>
      <c r="H119" s="18">
        <f>H124+H129+H134+H139+H144</f>
        <v>2240.55</v>
      </c>
      <c r="I119" s="47">
        <f>I124+I129+I134+I139+I144</f>
        <v>3529.68</v>
      </c>
      <c r="J119" s="47">
        <f>J124+J129+J134+J139+J144</f>
        <v>2352.76</v>
      </c>
      <c r="K119" s="47">
        <f>K124+K129+K134+K139+K144</f>
        <v>3375</v>
      </c>
      <c r="L119" s="114"/>
      <c r="M119" s="123"/>
    </row>
    <row r="120" spans="1:13" s="14" customFormat="1" ht="50.25" customHeight="1">
      <c r="A120" s="152"/>
      <c r="B120" s="147"/>
      <c r="C120" s="17" t="s">
        <v>44</v>
      </c>
      <c r="D120" s="17" t="s">
        <v>10</v>
      </c>
      <c r="E120" s="18">
        <f>E125+E130+E135+E140</f>
        <v>0</v>
      </c>
      <c r="F120" s="18">
        <f>G120+H120+I120+J120+K120</f>
        <v>162740.67</v>
      </c>
      <c r="G120" s="18">
        <f aca="true" t="shared" si="31" ref="G120:K121">G125+G130+G135+G140+G145</f>
        <v>50636</v>
      </c>
      <c r="H120" s="18">
        <f>H125+H130+H135+H140+H145</f>
        <v>109018.85</v>
      </c>
      <c r="I120" s="47">
        <f t="shared" si="31"/>
        <v>1176.56</v>
      </c>
      <c r="J120" s="47">
        <f t="shared" si="31"/>
        <v>784.26</v>
      </c>
      <c r="K120" s="47">
        <f t="shared" si="31"/>
        <v>1125</v>
      </c>
      <c r="L120" s="114"/>
      <c r="M120" s="123"/>
    </row>
    <row r="121" spans="1:13" s="14" customFormat="1" ht="63.75" customHeight="1">
      <c r="A121" s="152"/>
      <c r="B121" s="147"/>
      <c r="C121" s="17" t="s">
        <v>44</v>
      </c>
      <c r="D121" s="17" t="s">
        <v>11</v>
      </c>
      <c r="E121" s="18">
        <f>E126+E131+E136+E141</f>
        <v>0</v>
      </c>
      <c r="F121" s="18">
        <f>G121+H121+I121+J121+K121</f>
        <v>98792.83</v>
      </c>
      <c r="G121" s="18">
        <f t="shared" si="31"/>
        <v>31336.550000000003</v>
      </c>
      <c r="H121" s="18">
        <f t="shared" si="31"/>
        <v>59147.69</v>
      </c>
      <c r="I121" s="47">
        <f t="shared" si="31"/>
        <v>3117.66</v>
      </c>
      <c r="J121" s="47">
        <f t="shared" si="31"/>
        <v>2078.43</v>
      </c>
      <c r="K121" s="47">
        <f t="shared" si="31"/>
        <v>3112.5</v>
      </c>
      <c r="L121" s="114"/>
      <c r="M121" s="123"/>
    </row>
    <row r="122" spans="1:13" s="14" customFormat="1" ht="235.5" customHeight="1">
      <c r="A122" s="153"/>
      <c r="B122" s="148"/>
      <c r="C122" s="17" t="s">
        <v>44</v>
      </c>
      <c r="D122" s="17" t="s">
        <v>34</v>
      </c>
      <c r="E122" s="18">
        <f>E127+E132+E137+E142</f>
        <v>0</v>
      </c>
      <c r="F122" s="18">
        <f>G122+H122+I122+J122+K122</f>
        <v>0</v>
      </c>
      <c r="G122" s="18">
        <f>G127+G132+G137+G142+G147</f>
        <v>0</v>
      </c>
      <c r="H122" s="18">
        <f>H127+H132+H137+H142+H147</f>
        <v>0</v>
      </c>
      <c r="I122" s="47">
        <f>I127+I132+I137+I142+I147</f>
        <v>0</v>
      </c>
      <c r="J122" s="47">
        <f>J127+J132+J137+J142+J147</f>
        <v>0</v>
      </c>
      <c r="K122" s="47">
        <f>K127+K132+K137+K142+K147</f>
        <v>0</v>
      </c>
      <c r="L122" s="115"/>
      <c r="M122" s="124"/>
    </row>
    <row r="123" spans="1:13" s="14" customFormat="1" ht="26.25" customHeight="1">
      <c r="A123" s="151" t="s">
        <v>32</v>
      </c>
      <c r="B123" s="146" t="s">
        <v>134</v>
      </c>
      <c r="C123" s="17" t="s">
        <v>44</v>
      </c>
      <c r="D123" s="17" t="s">
        <v>7</v>
      </c>
      <c r="E123" s="18">
        <f aca="true" t="shared" si="32" ref="E123:K123">E124+E125+E126+E127</f>
        <v>0</v>
      </c>
      <c r="F123" s="18">
        <f>F124+F125+F126+F127</f>
        <v>0</v>
      </c>
      <c r="G123" s="18">
        <f t="shared" si="32"/>
        <v>0</v>
      </c>
      <c r="H123" s="18">
        <f t="shared" si="32"/>
        <v>0</v>
      </c>
      <c r="I123" s="47">
        <f t="shared" si="32"/>
        <v>0</v>
      </c>
      <c r="J123" s="47">
        <f t="shared" si="32"/>
        <v>0</v>
      </c>
      <c r="K123" s="47">
        <f t="shared" si="32"/>
        <v>0</v>
      </c>
      <c r="L123" s="139" t="s">
        <v>18</v>
      </c>
      <c r="M123" s="139"/>
    </row>
    <row r="124" spans="1:13" s="14" customFormat="1" ht="37.5" customHeight="1">
      <c r="A124" s="152"/>
      <c r="B124" s="147"/>
      <c r="C124" s="17" t="s">
        <v>44</v>
      </c>
      <c r="D124" s="17" t="s">
        <v>9</v>
      </c>
      <c r="E124" s="18">
        <v>0</v>
      </c>
      <c r="F124" s="18">
        <f>G124+H124+I124+J124+K124</f>
        <v>0</v>
      </c>
      <c r="G124" s="18">
        <v>0</v>
      </c>
      <c r="H124" s="18">
        <v>0</v>
      </c>
      <c r="I124" s="47">
        <v>0</v>
      </c>
      <c r="J124" s="47">
        <v>0</v>
      </c>
      <c r="K124" s="47">
        <v>0</v>
      </c>
      <c r="L124" s="114"/>
      <c r="M124" s="114"/>
    </row>
    <row r="125" spans="1:13" s="14" customFormat="1" ht="52.5" customHeight="1">
      <c r="A125" s="152"/>
      <c r="B125" s="147"/>
      <c r="C125" s="17" t="s">
        <v>44</v>
      </c>
      <c r="D125" s="17" t="s">
        <v>10</v>
      </c>
      <c r="E125" s="18">
        <v>0</v>
      </c>
      <c r="F125" s="18">
        <f>G125+H125+I125+J125+K125</f>
        <v>0</v>
      </c>
      <c r="G125" s="18">
        <v>0</v>
      </c>
      <c r="H125" s="18">
        <v>0</v>
      </c>
      <c r="I125" s="47">
        <v>0</v>
      </c>
      <c r="J125" s="47">
        <v>0</v>
      </c>
      <c r="K125" s="47">
        <v>0</v>
      </c>
      <c r="L125" s="114"/>
      <c r="M125" s="114"/>
    </row>
    <row r="126" spans="1:13" s="14" customFormat="1" ht="63.75" customHeight="1">
      <c r="A126" s="152"/>
      <c r="B126" s="147"/>
      <c r="C126" s="17" t="s">
        <v>44</v>
      </c>
      <c r="D126" s="17" t="s">
        <v>11</v>
      </c>
      <c r="E126" s="18">
        <v>0</v>
      </c>
      <c r="F126" s="18">
        <f>G126+H126+I126+J126+K126</f>
        <v>0</v>
      </c>
      <c r="G126" s="18">
        <v>0</v>
      </c>
      <c r="H126" s="18">
        <v>0</v>
      </c>
      <c r="I126" s="47">
        <v>0</v>
      </c>
      <c r="J126" s="47">
        <v>0</v>
      </c>
      <c r="K126" s="47">
        <v>0</v>
      </c>
      <c r="L126" s="114"/>
      <c r="M126" s="114"/>
    </row>
    <row r="127" spans="1:13" s="14" customFormat="1" ht="30.75" customHeight="1">
      <c r="A127" s="153"/>
      <c r="B127" s="148"/>
      <c r="C127" s="17" t="s">
        <v>44</v>
      </c>
      <c r="D127" s="17" t="s">
        <v>34</v>
      </c>
      <c r="E127" s="18">
        <v>0</v>
      </c>
      <c r="F127" s="18">
        <f>G127+H127+I127+J127+K127</f>
        <v>0</v>
      </c>
      <c r="G127" s="18">
        <v>0</v>
      </c>
      <c r="H127" s="18">
        <v>0</v>
      </c>
      <c r="I127" s="47">
        <v>0</v>
      </c>
      <c r="J127" s="47">
        <v>0</v>
      </c>
      <c r="K127" s="47">
        <v>0</v>
      </c>
      <c r="L127" s="115"/>
      <c r="M127" s="115"/>
    </row>
    <row r="128" spans="1:13" s="14" customFormat="1" ht="27.75" customHeight="1">
      <c r="A128" s="198" t="s">
        <v>91</v>
      </c>
      <c r="B128" s="146" t="s">
        <v>155</v>
      </c>
      <c r="C128" s="17" t="s">
        <v>44</v>
      </c>
      <c r="D128" s="17" t="s">
        <v>7</v>
      </c>
      <c r="E128" s="18">
        <f>E129+E130+E131+E132</f>
        <v>0</v>
      </c>
      <c r="F128" s="18">
        <f aca="true" t="shared" si="33" ref="F128:K128">F129+F130+F131+F132</f>
        <v>8000</v>
      </c>
      <c r="G128" s="18">
        <f t="shared" si="33"/>
        <v>0</v>
      </c>
      <c r="H128" s="18">
        <f t="shared" si="33"/>
        <v>0</v>
      </c>
      <c r="I128" s="47">
        <f t="shared" si="33"/>
        <v>3000</v>
      </c>
      <c r="J128" s="47">
        <f t="shared" si="33"/>
        <v>2000</v>
      </c>
      <c r="K128" s="47">
        <f t="shared" si="33"/>
        <v>3000</v>
      </c>
      <c r="L128" s="139" t="s">
        <v>18</v>
      </c>
      <c r="M128" s="139"/>
    </row>
    <row r="129" spans="1:13" s="14" customFormat="1" ht="39" customHeight="1">
      <c r="A129" s="199"/>
      <c r="B129" s="163"/>
      <c r="C129" s="17" t="s">
        <v>44</v>
      </c>
      <c r="D129" s="17" t="s">
        <v>9</v>
      </c>
      <c r="E129" s="18">
        <v>0</v>
      </c>
      <c r="F129" s="18">
        <f>G129+H129+I129+J129+K129</f>
        <v>0</v>
      </c>
      <c r="G129" s="18">
        <v>0</v>
      </c>
      <c r="H129" s="18">
        <v>0</v>
      </c>
      <c r="I129" s="47">
        <v>0</v>
      </c>
      <c r="J129" s="47">
        <v>0</v>
      </c>
      <c r="K129" s="47">
        <v>0</v>
      </c>
      <c r="L129" s="114"/>
      <c r="M129" s="84"/>
    </row>
    <row r="130" spans="1:13" s="14" customFormat="1" ht="53.25" customHeight="1">
      <c r="A130" s="199"/>
      <c r="B130" s="163"/>
      <c r="C130" s="17" t="s">
        <v>44</v>
      </c>
      <c r="D130" s="17" t="s">
        <v>10</v>
      </c>
      <c r="E130" s="18">
        <v>0</v>
      </c>
      <c r="F130" s="18">
        <f>G130+H130+I130+J130+K130</f>
        <v>0</v>
      </c>
      <c r="G130" s="18">
        <v>0</v>
      </c>
      <c r="H130" s="18">
        <v>0</v>
      </c>
      <c r="I130" s="47">
        <f>2500-2500</f>
        <v>0</v>
      </c>
      <c r="J130" s="47">
        <v>0</v>
      </c>
      <c r="K130" s="47">
        <v>0</v>
      </c>
      <c r="L130" s="114"/>
      <c r="M130" s="84"/>
    </row>
    <row r="131" spans="1:13" s="14" customFormat="1" ht="64.5" customHeight="1">
      <c r="A131" s="199"/>
      <c r="B131" s="163"/>
      <c r="C131" s="17" t="s">
        <v>44</v>
      </c>
      <c r="D131" s="17" t="s">
        <v>11</v>
      </c>
      <c r="E131" s="18">
        <v>0</v>
      </c>
      <c r="F131" s="18">
        <f>G131+H131+I131+J131+K131</f>
        <v>8000</v>
      </c>
      <c r="G131" s="18">
        <v>0</v>
      </c>
      <c r="H131" s="18">
        <v>0</v>
      </c>
      <c r="I131" s="47">
        <f>2500-2500+3000</f>
        <v>3000</v>
      </c>
      <c r="J131" s="47">
        <v>2000</v>
      </c>
      <c r="K131" s="47">
        <v>3000</v>
      </c>
      <c r="L131" s="114"/>
      <c r="M131" s="84"/>
    </row>
    <row r="132" spans="1:13" s="14" customFormat="1" ht="35.25" customHeight="1">
      <c r="A132" s="200"/>
      <c r="B132" s="164"/>
      <c r="C132" s="17" t="s">
        <v>44</v>
      </c>
      <c r="D132" s="17" t="s">
        <v>34</v>
      </c>
      <c r="E132" s="18">
        <v>0</v>
      </c>
      <c r="F132" s="18">
        <f>G132+H132+I132+J132+K132</f>
        <v>0</v>
      </c>
      <c r="G132" s="18">
        <v>0</v>
      </c>
      <c r="H132" s="18">
        <v>0</v>
      </c>
      <c r="I132" s="47">
        <v>0</v>
      </c>
      <c r="J132" s="47">
        <v>0</v>
      </c>
      <c r="K132" s="47">
        <v>0</v>
      </c>
      <c r="L132" s="115"/>
      <c r="M132" s="85"/>
    </row>
    <row r="133" spans="1:13" s="14" customFormat="1" ht="31.5" customHeight="1">
      <c r="A133" s="160" t="s">
        <v>92</v>
      </c>
      <c r="B133" s="169" t="s">
        <v>135</v>
      </c>
      <c r="C133" s="17" t="s">
        <v>44</v>
      </c>
      <c r="D133" s="17" t="s">
        <v>7</v>
      </c>
      <c r="E133" s="18">
        <f>E134+E135+E136+E137</f>
        <v>0</v>
      </c>
      <c r="F133" s="18">
        <f aca="true" t="shared" si="34" ref="F133:K133">F134+F135+F136+F137</f>
        <v>249317.55</v>
      </c>
      <c r="G133" s="18">
        <f t="shared" si="34"/>
        <v>81972.55</v>
      </c>
      <c r="H133" s="18">
        <f t="shared" si="34"/>
        <v>167345</v>
      </c>
      <c r="I133" s="47">
        <f t="shared" si="34"/>
        <v>0</v>
      </c>
      <c r="J133" s="47">
        <f t="shared" si="34"/>
        <v>0</v>
      </c>
      <c r="K133" s="47">
        <f t="shared" si="34"/>
        <v>0</v>
      </c>
      <c r="L133" s="139" t="s">
        <v>57</v>
      </c>
      <c r="M133" s="89"/>
    </row>
    <row r="134" spans="1:13" s="14" customFormat="1" ht="41.25" customHeight="1">
      <c r="A134" s="161"/>
      <c r="B134" s="163"/>
      <c r="C134" s="17" t="s">
        <v>44</v>
      </c>
      <c r="D134" s="17" t="s">
        <v>9</v>
      </c>
      <c r="E134" s="18">
        <v>0</v>
      </c>
      <c r="F134" s="18">
        <f>G134+H134+I134+J134+K134</f>
        <v>0</v>
      </c>
      <c r="G134" s="18">
        <v>0</v>
      </c>
      <c r="H134" s="18">
        <v>0</v>
      </c>
      <c r="I134" s="47">
        <v>0</v>
      </c>
      <c r="J134" s="47">
        <v>0</v>
      </c>
      <c r="K134" s="47">
        <v>0</v>
      </c>
      <c r="L134" s="114"/>
      <c r="M134" s="84"/>
    </row>
    <row r="135" spans="1:13" s="14" customFormat="1" ht="47.25" customHeight="1">
      <c r="A135" s="161"/>
      <c r="B135" s="163"/>
      <c r="C135" s="17" t="s">
        <v>44</v>
      </c>
      <c r="D135" s="17" t="s">
        <v>10</v>
      </c>
      <c r="E135" s="18">
        <v>0</v>
      </c>
      <c r="F135" s="18">
        <f>G135+H135+I135+J135+K135</f>
        <v>158908</v>
      </c>
      <c r="G135" s="18">
        <f>160022-106807-2579</f>
        <v>50636</v>
      </c>
      <c r="H135" s="18">
        <f>108655-383</f>
        <v>108272</v>
      </c>
      <c r="I135" s="47">
        <v>0</v>
      </c>
      <c r="J135" s="47">
        <v>0</v>
      </c>
      <c r="K135" s="47">
        <v>0</v>
      </c>
      <c r="L135" s="114"/>
      <c r="M135" s="84"/>
    </row>
    <row r="136" spans="1:13" s="14" customFormat="1" ht="48" customHeight="1">
      <c r="A136" s="161"/>
      <c r="B136" s="163"/>
      <c r="C136" s="17" t="s">
        <v>44</v>
      </c>
      <c r="D136" s="17" t="s">
        <v>11</v>
      </c>
      <c r="E136" s="18">
        <v>0</v>
      </c>
      <c r="F136" s="18">
        <f>G136+H136+I136+J136+K136</f>
        <v>90409.55</v>
      </c>
      <c r="G136" s="18">
        <f>91587+2530-61130-174.45+6778.4-300-7954.4</f>
        <v>31336.550000000003</v>
      </c>
      <c r="H136" s="18">
        <f>59282+6092.66-6092.66-209</f>
        <v>59073</v>
      </c>
      <c r="I136" s="47">
        <v>0</v>
      </c>
      <c r="J136" s="47">
        <v>0</v>
      </c>
      <c r="K136" s="47">
        <v>0</v>
      </c>
      <c r="L136" s="114"/>
      <c r="M136" s="84"/>
    </row>
    <row r="137" spans="1:13" s="14" customFormat="1" ht="27" customHeight="1">
      <c r="A137" s="162"/>
      <c r="B137" s="164"/>
      <c r="C137" s="17" t="s">
        <v>44</v>
      </c>
      <c r="D137" s="17" t="s">
        <v>34</v>
      </c>
      <c r="E137" s="18">
        <v>0</v>
      </c>
      <c r="F137" s="18">
        <f>G137+H137+I137+J137+K137</f>
        <v>0</v>
      </c>
      <c r="G137" s="18">
        <v>0</v>
      </c>
      <c r="H137" s="18">
        <v>0</v>
      </c>
      <c r="I137" s="47">
        <v>0</v>
      </c>
      <c r="J137" s="47">
        <v>0</v>
      </c>
      <c r="K137" s="47">
        <v>0</v>
      </c>
      <c r="L137" s="115"/>
      <c r="M137" s="85"/>
    </row>
    <row r="138" spans="1:13" s="14" customFormat="1" ht="17.25" customHeight="1">
      <c r="A138" s="151" t="s">
        <v>93</v>
      </c>
      <c r="B138" s="146" t="s">
        <v>136</v>
      </c>
      <c r="C138" s="17" t="s">
        <v>44</v>
      </c>
      <c r="D138" s="17" t="s">
        <v>7</v>
      </c>
      <c r="E138" s="18">
        <f aca="true" t="shared" si="35" ref="E138:K138">E139+E140+E141+E142</f>
        <v>0</v>
      </c>
      <c r="F138" s="18">
        <f>F139+F140+F141+F142</f>
        <v>15713.94</v>
      </c>
      <c r="G138" s="18">
        <f t="shared" si="35"/>
        <v>0</v>
      </c>
      <c r="H138" s="18">
        <f t="shared" si="35"/>
        <v>3062.09</v>
      </c>
      <c r="I138" s="47">
        <f t="shared" si="35"/>
        <v>4823.9</v>
      </c>
      <c r="J138" s="47">
        <f t="shared" si="35"/>
        <v>3215.4500000000003</v>
      </c>
      <c r="K138" s="47">
        <f t="shared" si="35"/>
        <v>4612.5</v>
      </c>
      <c r="L138" s="139" t="s">
        <v>17</v>
      </c>
      <c r="M138" s="139"/>
    </row>
    <row r="139" spans="1:13" s="14" customFormat="1" ht="36.75" customHeight="1">
      <c r="A139" s="152"/>
      <c r="B139" s="147"/>
      <c r="C139" s="17" t="s">
        <v>44</v>
      </c>
      <c r="D139" s="17" t="s">
        <v>9</v>
      </c>
      <c r="E139" s="18">
        <v>0</v>
      </c>
      <c r="F139" s="18">
        <f>G139+H139+I139+J139+K139</f>
        <v>11497.99</v>
      </c>
      <c r="G139" s="18">
        <v>0</v>
      </c>
      <c r="H139" s="18">
        <f>2353.11-112.56</f>
        <v>2240.55</v>
      </c>
      <c r="I139" s="47">
        <v>3529.68</v>
      </c>
      <c r="J139" s="47">
        <v>2352.76</v>
      </c>
      <c r="K139" s="47">
        <v>3375</v>
      </c>
      <c r="L139" s="114"/>
      <c r="M139" s="114"/>
    </row>
    <row r="140" spans="1:13" s="14" customFormat="1" ht="51.75" customHeight="1">
      <c r="A140" s="152"/>
      <c r="B140" s="147"/>
      <c r="C140" s="17" t="s">
        <v>44</v>
      </c>
      <c r="D140" s="17" t="s">
        <v>10</v>
      </c>
      <c r="E140" s="18">
        <v>0</v>
      </c>
      <c r="F140" s="18">
        <f>G140+H140+I140+J140+K140</f>
        <v>3832.67</v>
      </c>
      <c r="G140" s="18">
        <v>0</v>
      </c>
      <c r="H140" s="18">
        <f>784.89-38.04</f>
        <v>746.85</v>
      </c>
      <c r="I140" s="47">
        <v>1176.56</v>
      </c>
      <c r="J140" s="47">
        <v>784.26</v>
      </c>
      <c r="K140" s="47">
        <v>1125</v>
      </c>
      <c r="L140" s="114"/>
      <c r="M140" s="114"/>
    </row>
    <row r="141" spans="1:13" s="14" customFormat="1" ht="63" customHeight="1">
      <c r="A141" s="152"/>
      <c r="B141" s="147"/>
      <c r="C141" s="17" t="s">
        <v>44</v>
      </c>
      <c r="D141" s="17" t="s">
        <v>11</v>
      </c>
      <c r="E141" s="18">
        <v>0</v>
      </c>
      <c r="F141" s="18">
        <f>G141+H141+I141+J141+K141</f>
        <v>383.2800000000001</v>
      </c>
      <c r="G141" s="18">
        <v>0</v>
      </c>
      <c r="H141" s="18">
        <f>78.44+2000-2000-3.75</f>
        <v>74.69000000000005</v>
      </c>
      <c r="I141" s="47">
        <v>117.66</v>
      </c>
      <c r="J141" s="47">
        <v>78.43</v>
      </c>
      <c r="K141" s="47">
        <v>112.5</v>
      </c>
      <c r="L141" s="114"/>
      <c r="M141" s="114"/>
    </row>
    <row r="142" spans="1:13" s="14" customFormat="1" ht="27" customHeight="1">
      <c r="A142" s="153"/>
      <c r="B142" s="148"/>
      <c r="C142" s="17" t="s">
        <v>44</v>
      </c>
      <c r="D142" s="17" t="s">
        <v>34</v>
      </c>
      <c r="E142" s="18">
        <v>0</v>
      </c>
      <c r="F142" s="18">
        <f>G142+H142+I142+J142+K142</f>
        <v>0</v>
      </c>
      <c r="G142" s="18">
        <v>0</v>
      </c>
      <c r="H142" s="18">
        <v>0</v>
      </c>
      <c r="I142" s="47">
        <v>0</v>
      </c>
      <c r="J142" s="47">
        <v>0</v>
      </c>
      <c r="K142" s="47">
        <v>0</v>
      </c>
      <c r="L142" s="115"/>
      <c r="M142" s="115"/>
    </row>
    <row r="143" spans="1:13" s="14" customFormat="1" ht="22.5" customHeight="1">
      <c r="A143" s="151" t="s">
        <v>150</v>
      </c>
      <c r="B143" s="146" t="s">
        <v>151</v>
      </c>
      <c r="C143" s="17" t="s">
        <v>44</v>
      </c>
      <c r="D143" s="17" t="s">
        <v>7</v>
      </c>
      <c r="E143" s="18">
        <f>E144+E145+E146+E147</f>
        <v>0</v>
      </c>
      <c r="F143" s="18">
        <f aca="true" t="shared" si="36" ref="F143:K143">F144+F145+F146+F147</f>
        <v>0</v>
      </c>
      <c r="G143" s="18">
        <f t="shared" si="36"/>
        <v>0</v>
      </c>
      <c r="H143" s="18">
        <f t="shared" si="36"/>
        <v>0</v>
      </c>
      <c r="I143" s="47">
        <f t="shared" si="36"/>
        <v>0</v>
      </c>
      <c r="J143" s="47">
        <f t="shared" si="36"/>
        <v>0</v>
      </c>
      <c r="K143" s="47">
        <f t="shared" si="36"/>
        <v>0</v>
      </c>
      <c r="L143" s="139" t="s">
        <v>199</v>
      </c>
      <c r="M143" s="139"/>
    </row>
    <row r="144" spans="1:13" s="14" customFormat="1" ht="36.75" customHeight="1">
      <c r="A144" s="116"/>
      <c r="B144" s="80"/>
      <c r="C144" s="17" t="s">
        <v>44</v>
      </c>
      <c r="D144" s="17" t="s">
        <v>9</v>
      </c>
      <c r="E144" s="18">
        <v>0</v>
      </c>
      <c r="F144" s="18">
        <f>G144+H144+I144+J144+K144</f>
        <v>0</v>
      </c>
      <c r="G144" s="18">
        <v>0</v>
      </c>
      <c r="H144" s="18">
        <v>0</v>
      </c>
      <c r="I144" s="47">
        <v>0</v>
      </c>
      <c r="J144" s="47">
        <v>0</v>
      </c>
      <c r="K144" s="47">
        <v>0</v>
      </c>
      <c r="L144" s="114"/>
      <c r="M144" s="84"/>
    </row>
    <row r="145" spans="1:13" s="14" customFormat="1" ht="50.25" customHeight="1">
      <c r="A145" s="116"/>
      <c r="B145" s="80"/>
      <c r="C145" s="17" t="s">
        <v>44</v>
      </c>
      <c r="D145" s="17" t="s">
        <v>10</v>
      </c>
      <c r="E145" s="18">
        <v>0</v>
      </c>
      <c r="F145" s="18">
        <f>G145+H145+I145+J145+K145</f>
        <v>0</v>
      </c>
      <c r="G145" s="18">
        <v>0</v>
      </c>
      <c r="H145" s="18">
        <v>0</v>
      </c>
      <c r="I145" s="47">
        <v>0</v>
      </c>
      <c r="J145" s="47">
        <v>0</v>
      </c>
      <c r="K145" s="47">
        <v>0</v>
      </c>
      <c r="L145" s="114"/>
      <c r="M145" s="84"/>
    </row>
    <row r="146" spans="1:13" s="14" customFormat="1" ht="62.25" customHeight="1">
      <c r="A146" s="116"/>
      <c r="B146" s="80"/>
      <c r="C146" s="17" t="s">
        <v>44</v>
      </c>
      <c r="D146" s="17" t="s">
        <v>11</v>
      </c>
      <c r="E146" s="18">
        <v>0</v>
      </c>
      <c r="F146" s="18">
        <f>G146+H146+I146+J146+K146</f>
        <v>0</v>
      </c>
      <c r="G146" s="18">
        <v>0</v>
      </c>
      <c r="H146" s="47">
        <f>6092.66+5200+4335+1638.23+13250+1190+426.5+7500+184.19+3000-230-260-700-212.6-3500-3012.41-34901.57</f>
        <v>0</v>
      </c>
      <c r="I146" s="47">
        <v>0</v>
      </c>
      <c r="J146" s="47">
        <v>0</v>
      </c>
      <c r="K146" s="47">
        <v>0</v>
      </c>
      <c r="L146" s="114"/>
      <c r="M146" s="84"/>
    </row>
    <row r="147" spans="1:13" s="14" customFormat="1" ht="27" customHeight="1">
      <c r="A147" s="117"/>
      <c r="B147" s="81"/>
      <c r="C147" s="17" t="s">
        <v>44</v>
      </c>
      <c r="D147" s="17" t="s">
        <v>34</v>
      </c>
      <c r="E147" s="18">
        <v>0</v>
      </c>
      <c r="F147" s="18">
        <f>G147+H147+I147+J147+K147</f>
        <v>0</v>
      </c>
      <c r="G147" s="18">
        <v>0</v>
      </c>
      <c r="H147" s="18">
        <v>0</v>
      </c>
      <c r="I147" s="47">
        <v>0</v>
      </c>
      <c r="J147" s="47">
        <v>0</v>
      </c>
      <c r="K147" s="47">
        <v>0</v>
      </c>
      <c r="L147" s="115"/>
      <c r="M147" s="85"/>
    </row>
    <row r="148" spans="1:13" s="14" customFormat="1" ht="17.25" customHeight="1">
      <c r="A148" s="157" t="s">
        <v>42</v>
      </c>
      <c r="B148" s="143" t="s">
        <v>47</v>
      </c>
      <c r="C148" s="17" t="s">
        <v>44</v>
      </c>
      <c r="D148" s="17" t="s">
        <v>7</v>
      </c>
      <c r="E148" s="18">
        <f aca="true" t="shared" si="37" ref="E148:K148">E149+E150+E151+E152</f>
        <v>0</v>
      </c>
      <c r="F148" s="18">
        <f>F149+F150+F151+F152</f>
        <v>0</v>
      </c>
      <c r="G148" s="18">
        <f t="shared" si="37"/>
        <v>0</v>
      </c>
      <c r="H148" s="18">
        <f t="shared" si="37"/>
        <v>0</v>
      </c>
      <c r="I148" s="47">
        <f t="shared" si="37"/>
        <v>0</v>
      </c>
      <c r="J148" s="47">
        <f t="shared" si="37"/>
        <v>0</v>
      </c>
      <c r="K148" s="47">
        <f t="shared" si="37"/>
        <v>0</v>
      </c>
      <c r="L148" s="139" t="s">
        <v>16</v>
      </c>
      <c r="M148" s="139" t="s">
        <v>202</v>
      </c>
    </row>
    <row r="149" spans="1:13" s="14" customFormat="1" ht="41.25" customHeight="1">
      <c r="A149" s="158"/>
      <c r="B149" s="144"/>
      <c r="C149" s="17" t="s">
        <v>44</v>
      </c>
      <c r="D149" s="17" t="s">
        <v>9</v>
      </c>
      <c r="E149" s="18">
        <f>E154</f>
        <v>0</v>
      </c>
      <c r="F149" s="18">
        <f>G149+H149+I149+J149+K149</f>
        <v>0</v>
      </c>
      <c r="G149" s="18">
        <f>G154</f>
        <v>0</v>
      </c>
      <c r="H149" s="18">
        <f>H154</f>
        <v>0</v>
      </c>
      <c r="I149" s="47">
        <f>I154</f>
        <v>0</v>
      </c>
      <c r="J149" s="47">
        <f>J154</f>
        <v>0</v>
      </c>
      <c r="K149" s="47">
        <f>K154</f>
        <v>0</v>
      </c>
      <c r="L149" s="114"/>
      <c r="M149" s="114"/>
    </row>
    <row r="150" spans="1:13" s="14" customFormat="1" ht="59.25" customHeight="1">
      <c r="A150" s="158"/>
      <c r="B150" s="144"/>
      <c r="C150" s="17" t="s">
        <v>44</v>
      </c>
      <c r="D150" s="17" t="s">
        <v>10</v>
      </c>
      <c r="E150" s="18">
        <f>E155</f>
        <v>0</v>
      </c>
      <c r="F150" s="18">
        <f>G150+H150+I150+J150+K150</f>
        <v>0</v>
      </c>
      <c r="G150" s="18">
        <f aca="true" t="shared" si="38" ref="G150:K151">G155</f>
        <v>0</v>
      </c>
      <c r="H150" s="18">
        <f t="shared" si="38"/>
        <v>0</v>
      </c>
      <c r="I150" s="47">
        <f t="shared" si="38"/>
        <v>0</v>
      </c>
      <c r="J150" s="47">
        <f t="shared" si="38"/>
        <v>0</v>
      </c>
      <c r="K150" s="47">
        <f t="shared" si="38"/>
        <v>0</v>
      </c>
      <c r="L150" s="114"/>
      <c r="M150" s="114"/>
    </row>
    <row r="151" spans="1:13" s="14" customFormat="1" ht="65.25" customHeight="1">
      <c r="A151" s="158"/>
      <c r="B151" s="144"/>
      <c r="C151" s="17" t="s">
        <v>44</v>
      </c>
      <c r="D151" s="17" t="s">
        <v>11</v>
      </c>
      <c r="E151" s="18">
        <f>E156</f>
        <v>0</v>
      </c>
      <c r="F151" s="18">
        <f>G151+H151+I151+J151+K151</f>
        <v>0</v>
      </c>
      <c r="G151" s="18">
        <f t="shared" si="38"/>
        <v>0</v>
      </c>
      <c r="H151" s="18">
        <f t="shared" si="38"/>
        <v>0</v>
      </c>
      <c r="I151" s="47">
        <f t="shared" si="38"/>
        <v>0</v>
      </c>
      <c r="J151" s="47">
        <f t="shared" si="38"/>
        <v>0</v>
      </c>
      <c r="K151" s="47">
        <f t="shared" si="38"/>
        <v>0</v>
      </c>
      <c r="L151" s="114"/>
      <c r="M151" s="114"/>
    </row>
    <row r="152" spans="1:13" s="14" customFormat="1" ht="110.25" customHeight="1">
      <c r="A152" s="159"/>
      <c r="B152" s="145"/>
      <c r="C152" s="17" t="s">
        <v>44</v>
      </c>
      <c r="D152" s="17" t="s">
        <v>34</v>
      </c>
      <c r="E152" s="18">
        <f>E157</f>
        <v>0</v>
      </c>
      <c r="F152" s="18">
        <f>G152+H152+I152+J152+K152</f>
        <v>0</v>
      </c>
      <c r="G152" s="18">
        <f>G157</f>
        <v>0</v>
      </c>
      <c r="H152" s="18">
        <f>H157</f>
        <v>0</v>
      </c>
      <c r="I152" s="47">
        <f>I157</f>
        <v>0</v>
      </c>
      <c r="J152" s="47">
        <f>J157</f>
        <v>0</v>
      </c>
      <c r="K152" s="47">
        <f>K157</f>
        <v>0</v>
      </c>
      <c r="L152" s="115"/>
      <c r="M152" s="115"/>
    </row>
    <row r="153" spans="1:13" s="14" customFormat="1" ht="28.5" customHeight="1">
      <c r="A153" s="157" t="s">
        <v>94</v>
      </c>
      <c r="B153" s="143" t="s">
        <v>137</v>
      </c>
      <c r="C153" s="17" t="s">
        <v>44</v>
      </c>
      <c r="D153" s="17" t="s">
        <v>7</v>
      </c>
      <c r="E153" s="18">
        <f aca="true" t="shared" si="39" ref="E153:K153">E154+E155+E156+E157</f>
        <v>0</v>
      </c>
      <c r="F153" s="18">
        <f t="shared" si="39"/>
        <v>0</v>
      </c>
      <c r="G153" s="18">
        <f t="shared" si="39"/>
        <v>0</v>
      </c>
      <c r="H153" s="18">
        <f t="shared" si="39"/>
        <v>0</v>
      </c>
      <c r="I153" s="47">
        <f t="shared" si="39"/>
        <v>0</v>
      </c>
      <c r="J153" s="47">
        <f t="shared" si="39"/>
        <v>0</v>
      </c>
      <c r="K153" s="47">
        <f t="shared" si="39"/>
        <v>0</v>
      </c>
      <c r="L153" s="139" t="s">
        <v>18</v>
      </c>
      <c r="M153" s="139"/>
    </row>
    <row r="154" spans="1:13" s="14" customFormat="1" ht="39.75" customHeight="1">
      <c r="A154" s="158"/>
      <c r="B154" s="144"/>
      <c r="C154" s="17" t="s">
        <v>44</v>
      </c>
      <c r="D154" s="17" t="s">
        <v>9</v>
      </c>
      <c r="E154" s="18">
        <v>0</v>
      </c>
      <c r="F154" s="18">
        <f>G154+H154+I154+J154+K154</f>
        <v>0</v>
      </c>
      <c r="G154" s="18">
        <v>0</v>
      </c>
      <c r="H154" s="18">
        <f>1312-1312</f>
        <v>0</v>
      </c>
      <c r="I154" s="47">
        <v>0</v>
      </c>
      <c r="J154" s="47">
        <v>0</v>
      </c>
      <c r="K154" s="47">
        <v>0</v>
      </c>
      <c r="L154" s="114"/>
      <c r="M154" s="114"/>
    </row>
    <row r="155" spans="1:13" s="14" customFormat="1" ht="52.5" customHeight="1">
      <c r="A155" s="158"/>
      <c r="B155" s="144"/>
      <c r="C155" s="17" t="s">
        <v>44</v>
      </c>
      <c r="D155" s="17" t="s">
        <v>10</v>
      </c>
      <c r="E155" s="18">
        <v>0</v>
      </c>
      <c r="F155" s="18">
        <f>G155+H155+I155+J155+K155</f>
        <v>0</v>
      </c>
      <c r="G155" s="18">
        <v>0</v>
      </c>
      <c r="H155" s="18">
        <f>1667-1667</f>
        <v>0</v>
      </c>
      <c r="I155" s="47">
        <v>0</v>
      </c>
      <c r="J155" s="47">
        <v>0</v>
      </c>
      <c r="K155" s="47">
        <v>0</v>
      </c>
      <c r="L155" s="114"/>
      <c r="M155" s="114"/>
    </row>
    <row r="156" spans="1:13" s="14" customFormat="1" ht="63.75" customHeight="1">
      <c r="A156" s="158"/>
      <c r="B156" s="144"/>
      <c r="C156" s="17" t="s">
        <v>44</v>
      </c>
      <c r="D156" s="17" t="s">
        <v>11</v>
      </c>
      <c r="E156" s="18">
        <v>0</v>
      </c>
      <c r="F156" s="18">
        <f>G156+H156+I156+J156+K156</f>
        <v>0</v>
      </c>
      <c r="G156" s="18">
        <v>0</v>
      </c>
      <c r="H156" s="18">
        <f>166.67-166.67</f>
        <v>0</v>
      </c>
      <c r="I156" s="47">
        <v>0</v>
      </c>
      <c r="J156" s="47">
        <v>0</v>
      </c>
      <c r="K156" s="47">
        <v>0</v>
      </c>
      <c r="L156" s="114"/>
      <c r="M156" s="114"/>
    </row>
    <row r="157" spans="1:13" s="14" customFormat="1" ht="39" customHeight="1">
      <c r="A157" s="159"/>
      <c r="B157" s="145"/>
      <c r="C157" s="17" t="s">
        <v>44</v>
      </c>
      <c r="D157" s="17" t="s">
        <v>34</v>
      </c>
      <c r="E157" s="18">
        <v>0</v>
      </c>
      <c r="F157" s="18">
        <f>G157+H157+I157+J157+K157</f>
        <v>0</v>
      </c>
      <c r="G157" s="18">
        <v>0</v>
      </c>
      <c r="H157" s="18">
        <v>0</v>
      </c>
      <c r="I157" s="47">
        <v>0</v>
      </c>
      <c r="J157" s="47">
        <v>0</v>
      </c>
      <c r="K157" s="47">
        <v>0</v>
      </c>
      <c r="L157" s="115"/>
      <c r="M157" s="115"/>
    </row>
    <row r="158" spans="1:13" s="14" customFormat="1" ht="27" customHeight="1">
      <c r="A158" s="157" t="s">
        <v>103</v>
      </c>
      <c r="B158" s="154" t="s">
        <v>170</v>
      </c>
      <c r="C158" s="17" t="s">
        <v>168</v>
      </c>
      <c r="D158" s="17" t="s">
        <v>7</v>
      </c>
      <c r="E158" s="18">
        <f aca="true" t="shared" si="40" ref="E158:K158">E159+E160+E161+E162</f>
        <v>0</v>
      </c>
      <c r="F158" s="18">
        <f t="shared" si="40"/>
        <v>712218.52624</v>
      </c>
      <c r="G158" s="18">
        <f t="shared" si="40"/>
        <v>0</v>
      </c>
      <c r="H158" s="18">
        <f t="shared" si="40"/>
        <v>0</v>
      </c>
      <c r="I158" s="47">
        <f t="shared" si="40"/>
        <v>403619.52624</v>
      </c>
      <c r="J158" s="47">
        <f t="shared" si="40"/>
        <v>144893</v>
      </c>
      <c r="K158" s="47">
        <f t="shared" si="40"/>
        <v>163706</v>
      </c>
      <c r="L158" s="139" t="s">
        <v>212</v>
      </c>
      <c r="M158" s="139" t="s">
        <v>194</v>
      </c>
    </row>
    <row r="159" spans="1:13" s="14" customFormat="1" ht="37.5" customHeight="1">
      <c r="A159" s="98"/>
      <c r="B159" s="155"/>
      <c r="C159" s="17" t="s">
        <v>168</v>
      </c>
      <c r="D159" s="17" t="s">
        <v>9</v>
      </c>
      <c r="E159" s="18">
        <v>0</v>
      </c>
      <c r="F159" s="18">
        <f>G159+H159+I159+J159+K159</f>
        <v>171450.25</v>
      </c>
      <c r="G159" s="18">
        <f>G169+G164</f>
        <v>0</v>
      </c>
      <c r="H159" s="18">
        <f>H169+H164</f>
        <v>0</v>
      </c>
      <c r="I159" s="47">
        <f>I169+I164</f>
        <v>171450.25</v>
      </c>
      <c r="J159" s="47">
        <f>J169+J164</f>
        <v>0</v>
      </c>
      <c r="K159" s="47">
        <f>K169+K164</f>
        <v>0</v>
      </c>
      <c r="L159" s="84"/>
      <c r="M159" s="84"/>
    </row>
    <row r="160" spans="1:13" s="14" customFormat="1" ht="50.25" customHeight="1">
      <c r="A160" s="98"/>
      <c r="B160" s="155"/>
      <c r="C160" s="17" t="s">
        <v>168</v>
      </c>
      <c r="D160" s="17" t="s">
        <v>10</v>
      </c>
      <c r="E160" s="18">
        <v>0</v>
      </c>
      <c r="F160" s="18">
        <f>G160+H160+I160+J160+K160</f>
        <v>379361.86999</v>
      </c>
      <c r="G160" s="18">
        <f aca="true" t="shared" si="41" ref="G160:K162">G170+G165</f>
        <v>0</v>
      </c>
      <c r="H160" s="18">
        <f aca="true" t="shared" si="42" ref="H160:K161">H170+H165+H174</f>
        <v>0</v>
      </c>
      <c r="I160" s="18">
        <f t="shared" si="42"/>
        <v>140899.86998999998</v>
      </c>
      <c r="J160" s="18">
        <f t="shared" si="42"/>
        <v>111962</v>
      </c>
      <c r="K160" s="18">
        <f t="shared" si="42"/>
        <v>126500</v>
      </c>
      <c r="L160" s="84"/>
      <c r="M160" s="84"/>
    </row>
    <row r="161" spans="1:13" s="14" customFormat="1" ht="60.75" customHeight="1">
      <c r="A161" s="98"/>
      <c r="B161" s="155"/>
      <c r="C161" s="17" t="s">
        <v>168</v>
      </c>
      <c r="D161" s="17" t="s">
        <v>11</v>
      </c>
      <c r="E161" s="18">
        <v>0</v>
      </c>
      <c r="F161" s="18">
        <f>G161+H161+I161+J161+K161</f>
        <v>161406.40625</v>
      </c>
      <c r="G161" s="18">
        <f t="shared" si="41"/>
        <v>0</v>
      </c>
      <c r="H161" s="18">
        <f t="shared" si="42"/>
        <v>0</v>
      </c>
      <c r="I161" s="18">
        <f>I171+I166+I175</f>
        <v>91269.40625</v>
      </c>
      <c r="J161" s="18">
        <f t="shared" si="42"/>
        <v>32931</v>
      </c>
      <c r="K161" s="18">
        <f t="shared" si="42"/>
        <v>37206</v>
      </c>
      <c r="L161" s="84"/>
      <c r="M161" s="84"/>
    </row>
    <row r="162" spans="1:13" s="14" customFormat="1" ht="39" customHeight="1">
      <c r="A162" s="99"/>
      <c r="B162" s="156"/>
      <c r="C162" s="17" t="s">
        <v>168</v>
      </c>
      <c r="D162" s="17" t="s">
        <v>34</v>
      </c>
      <c r="E162" s="18">
        <v>0</v>
      </c>
      <c r="F162" s="18">
        <f>G162+H162+I162+J162+K162</f>
        <v>0</v>
      </c>
      <c r="G162" s="18">
        <f t="shared" si="41"/>
        <v>0</v>
      </c>
      <c r="H162" s="18">
        <f t="shared" si="41"/>
        <v>0</v>
      </c>
      <c r="I162" s="47">
        <f t="shared" si="41"/>
        <v>0</v>
      </c>
      <c r="J162" s="47">
        <f t="shared" si="41"/>
        <v>0</v>
      </c>
      <c r="K162" s="47">
        <f t="shared" si="41"/>
        <v>0</v>
      </c>
      <c r="L162" s="85"/>
      <c r="M162" s="85"/>
    </row>
    <row r="163" spans="1:13" s="14" customFormat="1" ht="26.25" customHeight="1">
      <c r="A163" s="90" t="s">
        <v>104</v>
      </c>
      <c r="B163" s="154" t="s">
        <v>172</v>
      </c>
      <c r="C163" s="17" t="s">
        <v>168</v>
      </c>
      <c r="D163" s="17" t="s">
        <v>7</v>
      </c>
      <c r="E163" s="18">
        <f>E164+E165+E166+E167</f>
        <v>0</v>
      </c>
      <c r="F163" s="18">
        <f aca="true" t="shared" si="43" ref="F163:K163">F164+F165+F166+F167</f>
        <v>593672.77</v>
      </c>
      <c r="G163" s="18">
        <f t="shared" si="43"/>
        <v>0</v>
      </c>
      <c r="H163" s="18">
        <f t="shared" si="43"/>
        <v>0</v>
      </c>
      <c r="I163" s="47">
        <f t="shared" si="43"/>
        <v>331364.76999999996</v>
      </c>
      <c r="J163" s="47">
        <f t="shared" si="43"/>
        <v>123158</v>
      </c>
      <c r="K163" s="47">
        <f t="shared" si="43"/>
        <v>139150</v>
      </c>
      <c r="L163" s="139" t="s">
        <v>213</v>
      </c>
      <c r="M163" s="89"/>
    </row>
    <row r="164" spans="1:13" s="14" customFormat="1" ht="39" customHeight="1">
      <c r="A164" s="116"/>
      <c r="B164" s="155"/>
      <c r="C164" s="17" t="s">
        <v>168</v>
      </c>
      <c r="D164" s="17" t="s">
        <v>9</v>
      </c>
      <c r="E164" s="18">
        <v>0</v>
      </c>
      <c r="F164" s="18">
        <f>G164+H164+I164+J164+K164</f>
        <v>151053.3</v>
      </c>
      <c r="G164" s="18">
        <v>0</v>
      </c>
      <c r="H164" s="18">
        <v>0</v>
      </c>
      <c r="I164" s="47">
        <f>53856.2+33765.3+63431.8</f>
        <v>151053.3</v>
      </c>
      <c r="J164" s="47">
        <v>0</v>
      </c>
      <c r="K164" s="47">
        <v>0</v>
      </c>
      <c r="L164" s="84"/>
      <c r="M164" s="84"/>
    </row>
    <row r="165" spans="1:13" s="14" customFormat="1" ht="51" customHeight="1">
      <c r="A165" s="116"/>
      <c r="B165" s="155"/>
      <c r="C165" s="17" t="s">
        <v>168</v>
      </c>
      <c r="D165" s="17" t="s">
        <v>10</v>
      </c>
      <c r="E165" s="18">
        <v>0</v>
      </c>
      <c r="F165" s="18">
        <f>G165+H165+I165+J165+K165</f>
        <v>305766.99</v>
      </c>
      <c r="G165" s="18">
        <v>0</v>
      </c>
      <c r="H165" s="18">
        <v>0</v>
      </c>
      <c r="I165" s="47">
        <f>101190+13737+90940+61986-55846.64-38613.34-70318.03</f>
        <v>103074.98999999999</v>
      </c>
      <c r="J165" s="47">
        <v>95167</v>
      </c>
      <c r="K165" s="47">
        <v>107525</v>
      </c>
      <c r="L165" s="84"/>
      <c r="M165" s="84"/>
    </row>
    <row r="166" spans="1:13" s="14" customFormat="1" ht="49.5" customHeight="1">
      <c r="A166" s="116"/>
      <c r="B166" s="155"/>
      <c r="C166" s="17" t="s">
        <v>168</v>
      </c>
      <c r="D166" s="17" t="s">
        <v>11</v>
      </c>
      <c r="E166" s="18">
        <v>0</v>
      </c>
      <c r="F166" s="18">
        <f>G166+H166+I166+J166+K166</f>
        <v>136852.47999999998</v>
      </c>
      <c r="G166" s="18">
        <v>0</v>
      </c>
      <c r="H166" s="18">
        <v>0</v>
      </c>
      <c r="I166" s="47">
        <f>29762-16992+10105+6888-221.72-539.34-765.46+39000+10000</f>
        <v>77236.48</v>
      </c>
      <c r="J166" s="47">
        <v>27991</v>
      </c>
      <c r="K166" s="47">
        <v>31625</v>
      </c>
      <c r="L166" s="84"/>
      <c r="M166" s="84"/>
    </row>
    <row r="167" spans="1:13" s="14" customFormat="1" ht="39" customHeight="1">
      <c r="A167" s="117"/>
      <c r="B167" s="156"/>
      <c r="C167" s="17" t="s">
        <v>168</v>
      </c>
      <c r="D167" s="17" t="s">
        <v>34</v>
      </c>
      <c r="E167" s="18">
        <v>0</v>
      </c>
      <c r="F167" s="18">
        <f>G167+H167+I167+J167+K167</f>
        <v>0</v>
      </c>
      <c r="G167" s="18">
        <f>H167+I167+J167+K167+L167</f>
        <v>0</v>
      </c>
      <c r="H167" s="18">
        <f>I167+J167+K167+L167+M167</f>
        <v>0</v>
      </c>
      <c r="I167" s="47">
        <f>J167+K167+L167+M167+N167</f>
        <v>0</v>
      </c>
      <c r="J167" s="47">
        <f>K167+L167+M167+N167+O167</f>
        <v>0</v>
      </c>
      <c r="K167" s="47">
        <f>L167+M167+N167+O167+P167</f>
        <v>0</v>
      </c>
      <c r="L167" s="85"/>
      <c r="M167" s="85"/>
    </row>
    <row r="168" spans="1:13" s="14" customFormat="1" ht="27" customHeight="1">
      <c r="A168" s="157" t="s">
        <v>105</v>
      </c>
      <c r="B168" s="154" t="s">
        <v>171</v>
      </c>
      <c r="C168" s="17" t="s">
        <v>168</v>
      </c>
      <c r="D168" s="17" t="s">
        <v>7</v>
      </c>
      <c r="E168" s="18">
        <f>E169+E170+E171+E172</f>
        <v>0</v>
      </c>
      <c r="F168" s="48">
        <f aca="true" t="shared" si="44" ref="F168:K168">F169+F170+F171+F172</f>
        <v>94733.75624</v>
      </c>
      <c r="G168" s="18">
        <f t="shared" si="44"/>
        <v>0</v>
      </c>
      <c r="H168" s="18">
        <f t="shared" si="44"/>
        <v>0</v>
      </c>
      <c r="I168" s="75">
        <f t="shared" si="44"/>
        <v>48442.75624</v>
      </c>
      <c r="J168" s="47">
        <f t="shared" si="44"/>
        <v>21735</v>
      </c>
      <c r="K168" s="47">
        <f t="shared" si="44"/>
        <v>24556</v>
      </c>
      <c r="L168" s="139" t="s">
        <v>214</v>
      </c>
      <c r="M168" s="139"/>
    </row>
    <row r="169" spans="1:13" s="14" customFormat="1" ht="39.75" customHeight="1">
      <c r="A169" s="98"/>
      <c r="B169" s="155"/>
      <c r="C169" s="17" t="s">
        <v>168</v>
      </c>
      <c r="D169" s="17" t="s">
        <v>9</v>
      </c>
      <c r="E169" s="18">
        <v>0</v>
      </c>
      <c r="F169" s="48">
        <f>G169+H169+I169+J169+K169</f>
        <v>20396.95</v>
      </c>
      <c r="G169" s="18">
        <v>0</v>
      </c>
      <c r="H169" s="18">
        <v>0</v>
      </c>
      <c r="I169" s="75">
        <f>19969.8+427.15</f>
        <v>20396.95</v>
      </c>
      <c r="J169" s="47">
        <v>0</v>
      </c>
      <c r="K169" s="47">
        <v>0</v>
      </c>
      <c r="L169" s="84"/>
      <c r="M169" s="84"/>
    </row>
    <row r="170" spans="1:13" s="14" customFormat="1" ht="50.25" customHeight="1">
      <c r="A170" s="98"/>
      <c r="B170" s="155"/>
      <c r="C170" s="17" t="s">
        <v>168</v>
      </c>
      <c r="D170" s="17" t="s">
        <v>10</v>
      </c>
      <c r="E170" s="18">
        <v>0</v>
      </c>
      <c r="F170" s="48">
        <f>G170+H170+I170+J170+K170</f>
        <v>52164.87999</v>
      </c>
      <c r="G170" s="18">
        <v>0</v>
      </c>
      <c r="H170" s="18">
        <v>0</v>
      </c>
      <c r="I170" s="75">
        <f>17857-17857+12124.52142+4011.0175+259.34107</f>
        <v>16394.879989999998</v>
      </c>
      <c r="J170" s="47">
        <v>16795</v>
      </c>
      <c r="K170" s="47">
        <v>18975</v>
      </c>
      <c r="L170" s="84"/>
      <c r="M170" s="84"/>
    </row>
    <row r="171" spans="1:13" s="14" customFormat="1" ht="61.5" customHeight="1">
      <c r="A171" s="98"/>
      <c r="B171" s="155"/>
      <c r="C171" s="17" t="s">
        <v>168</v>
      </c>
      <c r="D171" s="17" t="s">
        <v>11</v>
      </c>
      <c r="E171" s="18">
        <v>0</v>
      </c>
      <c r="F171" s="48">
        <f>G171+H171+I171+J171+K171</f>
        <v>22171.92625</v>
      </c>
      <c r="G171" s="18">
        <v>0</v>
      </c>
      <c r="H171" s="18">
        <v>0</v>
      </c>
      <c r="I171" s="75">
        <f>5253-5253+3566.03574+76.27675+8008.61376</f>
        <v>11650.92625</v>
      </c>
      <c r="J171" s="47">
        <v>4940</v>
      </c>
      <c r="K171" s="47">
        <v>5581</v>
      </c>
      <c r="L171" s="84"/>
      <c r="M171" s="84"/>
    </row>
    <row r="172" spans="1:13" s="14" customFormat="1" ht="37.5" customHeight="1">
      <c r="A172" s="99"/>
      <c r="B172" s="156"/>
      <c r="C172" s="17" t="s">
        <v>168</v>
      </c>
      <c r="D172" s="17" t="s">
        <v>34</v>
      </c>
      <c r="E172" s="18">
        <v>0</v>
      </c>
      <c r="F172" s="18">
        <f>G172+H172+I172+J172+K172</f>
        <v>0</v>
      </c>
      <c r="G172" s="18">
        <v>0</v>
      </c>
      <c r="H172" s="18">
        <v>0</v>
      </c>
      <c r="I172" s="47">
        <v>0</v>
      </c>
      <c r="J172" s="47">
        <v>0</v>
      </c>
      <c r="K172" s="47">
        <v>0</v>
      </c>
      <c r="L172" s="85"/>
      <c r="M172" s="85"/>
    </row>
    <row r="173" spans="1:13" s="14" customFormat="1" ht="37.5" customHeight="1">
      <c r="A173" s="90" t="s">
        <v>176</v>
      </c>
      <c r="B173" s="154" t="s">
        <v>177</v>
      </c>
      <c r="C173" s="17" t="s">
        <v>168</v>
      </c>
      <c r="D173" s="17" t="s">
        <v>7</v>
      </c>
      <c r="E173" s="18">
        <f>E174+E175</f>
        <v>0</v>
      </c>
      <c r="F173" s="18">
        <f aca="true" t="shared" si="45" ref="F173:K173">F174+F175</f>
        <v>23812</v>
      </c>
      <c r="G173" s="18">
        <f t="shared" si="45"/>
        <v>0</v>
      </c>
      <c r="H173" s="18">
        <f t="shared" si="45"/>
        <v>0</v>
      </c>
      <c r="I173" s="18">
        <f t="shared" si="45"/>
        <v>23812</v>
      </c>
      <c r="J173" s="18">
        <f t="shared" si="45"/>
        <v>0</v>
      </c>
      <c r="K173" s="18">
        <f t="shared" si="45"/>
        <v>0</v>
      </c>
      <c r="L173" s="79" t="s">
        <v>213</v>
      </c>
      <c r="M173" s="89"/>
    </row>
    <row r="174" spans="1:13" s="14" customFormat="1" ht="53.25" customHeight="1">
      <c r="A174" s="116"/>
      <c r="B174" s="144"/>
      <c r="C174" s="17" t="s">
        <v>168</v>
      </c>
      <c r="D174" s="17" t="s">
        <v>10</v>
      </c>
      <c r="E174" s="18">
        <v>0</v>
      </c>
      <c r="F174" s="18">
        <f>G174+H174+I174+J174+K174</f>
        <v>21430</v>
      </c>
      <c r="G174" s="18">
        <v>0</v>
      </c>
      <c r="H174" s="18">
        <v>0</v>
      </c>
      <c r="I174" s="47">
        <f>9195+7276+4959</f>
        <v>21430</v>
      </c>
      <c r="J174" s="47">
        <v>0</v>
      </c>
      <c r="K174" s="47">
        <v>0</v>
      </c>
      <c r="L174" s="80"/>
      <c r="M174" s="84"/>
    </row>
    <row r="175" spans="1:13" s="14" customFormat="1" ht="66" customHeight="1">
      <c r="A175" s="117"/>
      <c r="B175" s="145"/>
      <c r="C175" s="17" t="s">
        <v>168</v>
      </c>
      <c r="D175" s="17" t="s">
        <v>11</v>
      </c>
      <c r="E175" s="18">
        <v>0</v>
      </c>
      <c r="F175" s="18">
        <f>G175+H175+I175+J175+K175</f>
        <v>2382</v>
      </c>
      <c r="G175" s="18">
        <v>0</v>
      </c>
      <c r="H175" s="18">
        <v>0</v>
      </c>
      <c r="I175" s="47">
        <f>1022+809+551</f>
        <v>2382</v>
      </c>
      <c r="J175" s="47">
        <v>0</v>
      </c>
      <c r="K175" s="47">
        <v>0</v>
      </c>
      <c r="L175" s="81"/>
      <c r="M175" s="85"/>
    </row>
    <row r="176" spans="1:13" s="14" customFormat="1" ht="26.25" customHeight="1">
      <c r="A176" s="151"/>
      <c r="B176" s="188" t="s">
        <v>1</v>
      </c>
      <c r="C176" s="17" t="s">
        <v>44</v>
      </c>
      <c r="D176" s="17" t="s">
        <v>7</v>
      </c>
      <c r="E176" s="18">
        <f aca="true" t="shared" si="46" ref="E176:K176">E177+E178+E179+E180</f>
        <v>2015717.5</v>
      </c>
      <c r="F176" s="48">
        <f t="shared" si="46"/>
        <v>18900852.11499</v>
      </c>
      <c r="G176" s="44">
        <f>G177+G178+G179+G180</f>
        <v>2347011.15</v>
      </c>
      <c r="H176" s="48">
        <f t="shared" si="46"/>
        <v>3284636.5778900003</v>
      </c>
      <c r="I176" s="49">
        <f t="shared" si="46"/>
        <v>4644760.7883399995</v>
      </c>
      <c r="J176" s="49">
        <f t="shared" si="46"/>
        <v>4296489.86903</v>
      </c>
      <c r="K176" s="71">
        <f t="shared" si="46"/>
        <v>4327953.729730001</v>
      </c>
      <c r="L176" s="139"/>
      <c r="M176" s="139"/>
    </row>
    <row r="177" spans="1:13" s="14" customFormat="1" ht="36">
      <c r="A177" s="191"/>
      <c r="B177" s="189"/>
      <c r="C177" s="17" t="s">
        <v>44</v>
      </c>
      <c r="D177" s="17" t="s">
        <v>9</v>
      </c>
      <c r="E177" s="18">
        <f>E6+E64+E119+E109+E149</f>
        <v>0</v>
      </c>
      <c r="F177" s="48">
        <f>G177+H177+I177+J177+K177</f>
        <v>856862.6475199999</v>
      </c>
      <c r="G177" s="44">
        <f>G6+G64+G119+G149+G109+G159</f>
        <v>53079.747</v>
      </c>
      <c r="H177" s="48">
        <f aca="true" t="shared" si="47" ref="G177:K180">H6+H64+H119+H149+H109+H159</f>
        <v>140603.21723</v>
      </c>
      <c r="I177" s="49">
        <f t="shared" si="47"/>
        <v>334039.78398</v>
      </c>
      <c r="J177" s="49">
        <f t="shared" si="47"/>
        <v>161823.84266000002</v>
      </c>
      <c r="K177" s="71">
        <f t="shared" si="47"/>
        <v>167316.05664999998</v>
      </c>
      <c r="L177" s="114"/>
      <c r="M177" s="114"/>
    </row>
    <row r="178" spans="1:13" s="14" customFormat="1" ht="48">
      <c r="A178" s="191"/>
      <c r="B178" s="189"/>
      <c r="C178" s="17" t="s">
        <v>44</v>
      </c>
      <c r="D178" s="17" t="s">
        <v>10</v>
      </c>
      <c r="E178" s="18">
        <f>E7+E65+E120+E110+E150</f>
        <v>1702461</v>
      </c>
      <c r="F178" s="48">
        <f>G178+H178+I178+J178+K178</f>
        <v>13155203.99191</v>
      </c>
      <c r="G178" s="44">
        <f>G7+G65+G120+G150+G110+G160</f>
        <v>1898026.253</v>
      </c>
      <c r="H178" s="48">
        <f t="shared" si="47"/>
        <v>2301683.42443</v>
      </c>
      <c r="I178" s="49">
        <f t="shared" si="47"/>
        <v>2999627.9699</v>
      </c>
      <c r="J178" s="49">
        <f t="shared" si="47"/>
        <v>2969766.7744699996</v>
      </c>
      <c r="K178" s="71">
        <f t="shared" si="47"/>
        <v>2986099.57011</v>
      </c>
      <c r="L178" s="114"/>
      <c r="M178" s="114"/>
    </row>
    <row r="179" spans="1:13" s="14" customFormat="1" ht="60">
      <c r="A179" s="191"/>
      <c r="B179" s="189"/>
      <c r="C179" s="17" t="s">
        <v>44</v>
      </c>
      <c r="D179" s="17" t="s">
        <v>11</v>
      </c>
      <c r="E179" s="18">
        <f>E8+E66+E121+E111+E151</f>
        <v>294995.5</v>
      </c>
      <c r="F179" s="48">
        <f>G179+H179+I179+J179+K179</f>
        <v>3690885.47556</v>
      </c>
      <c r="G179" s="44">
        <f t="shared" si="47"/>
        <v>352405.15</v>
      </c>
      <c r="H179" s="48">
        <f t="shared" si="47"/>
        <v>706149.9362300001</v>
      </c>
      <c r="I179" s="49">
        <f t="shared" si="47"/>
        <v>972593.0344600001</v>
      </c>
      <c r="J179" s="49">
        <f t="shared" si="47"/>
        <v>825499.2519</v>
      </c>
      <c r="K179" s="71">
        <f t="shared" si="47"/>
        <v>834238.1029699999</v>
      </c>
      <c r="L179" s="114"/>
      <c r="M179" s="114"/>
    </row>
    <row r="180" spans="1:13" s="14" customFormat="1" ht="36">
      <c r="A180" s="192"/>
      <c r="B180" s="190"/>
      <c r="C180" s="17" t="s">
        <v>44</v>
      </c>
      <c r="D180" s="17" t="s">
        <v>34</v>
      </c>
      <c r="E180" s="18">
        <f>E9+E67+E122+E112+E152</f>
        <v>18261</v>
      </c>
      <c r="F180" s="18">
        <f>G180+H180+I180+J180+K180</f>
        <v>1197900</v>
      </c>
      <c r="G180" s="18">
        <f t="shared" si="47"/>
        <v>43500</v>
      </c>
      <c r="H180" s="18">
        <f t="shared" si="47"/>
        <v>136200</v>
      </c>
      <c r="I180" s="47">
        <f t="shared" si="47"/>
        <v>338500</v>
      </c>
      <c r="J180" s="47">
        <f t="shared" si="47"/>
        <v>339400</v>
      </c>
      <c r="K180" s="47">
        <f t="shared" si="47"/>
        <v>340300</v>
      </c>
      <c r="L180" s="115"/>
      <c r="M180" s="115"/>
    </row>
    <row r="181" spans="1:11" ht="0.75" customHeight="1">
      <c r="A181" s="23"/>
      <c r="B181" s="24"/>
      <c r="C181" s="25"/>
      <c r="D181" s="25"/>
      <c r="E181" s="26"/>
      <c r="F181" s="25"/>
      <c r="G181" s="25"/>
      <c r="H181" s="25"/>
      <c r="I181" s="60"/>
      <c r="J181" s="60"/>
      <c r="K181" s="60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</sheetData>
  <sheetProtection/>
  <mergeCells count="148">
    <mergeCell ref="L88:L92"/>
    <mergeCell ref="A88:A92"/>
    <mergeCell ref="B88:B92"/>
    <mergeCell ref="L48:L52"/>
    <mergeCell ref="A53:A57"/>
    <mergeCell ref="L53:L57"/>
    <mergeCell ref="B53:B57"/>
    <mergeCell ref="A78:A82"/>
    <mergeCell ref="B78:B82"/>
    <mergeCell ref="B58:B62"/>
    <mergeCell ref="A173:A175"/>
    <mergeCell ref="B173:B175"/>
    <mergeCell ref="L173:L175"/>
    <mergeCell ref="M173:M175"/>
    <mergeCell ref="A128:A132"/>
    <mergeCell ref="A113:A117"/>
    <mergeCell ref="B113:B117"/>
    <mergeCell ref="A168:A172"/>
    <mergeCell ref="B168:B172"/>
    <mergeCell ref="M168:M172"/>
    <mergeCell ref="M88:M92"/>
    <mergeCell ref="L38:L42"/>
    <mergeCell ref="A83:A87"/>
    <mergeCell ref="B68:B72"/>
    <mergeCell ref="A63:A67"/>
    <mergeCell ref="A98:A102"/>
    <mergeCell ref="A43:A47"/>
    <mergeCell ref="L43:L47"/>
    <mergeCell ref="A73:A77"/>
    <mergeCell ref="B73:B77"/>
    <mergeCell ref="L58:L62"/>
    <mergeCell ref="A35:A37"/>
    <mergeCell ref="A108:A112"/>
    <mergeCell ref="B38:B42"/>
    <mergeCell ref="A48:A52"/>
    <mergeCell ref="B48:B52"/>
    <mergeCell ref="A58:A62"/>
    <mergeCell ref="B103:B107"/>
    <mergeCell ref="B43:B47"/>
    <mergeCell ref="A103:A107"/>
    <mergeCell ref="A68:A72"/>
    <mergeCell ref="A158:A162"/>
    <mergeCell ref="A143:A147"/>
    <mergeCell ref="B153:B157"/>
    <mergeCell ref="L133:L137"/>
    <mergeCell ref="M123:M127"/>
    <mergeCell ref="M133:M137"/>
    <mergeCell ref="M128:M132"/>
    <mergeCell ref="A138:A142"/>
    <mergeCell ref="B133:B137"/>
    <mergeCell ref="M108:M112"/>
    <mergeCell ref="B176:B180"/>
    <mergeCell ref="B138:B142"/>
    <mergeCell ref="A176:A180"/>
    <mergeCell ref="M176:M180"/>
    <mergeCell ref="L176:L180"/>
    <mergeCell ref="L158:L162"/>
    <mergeCell ref="L148:L152"/>
    <mergeCell ref="A148:A152"/>
    <mergeCell ref="L168:L172"/>
    <mergeCell ref="M163:M167"/>
    <mergeCell ref="M148:M152"/>
    <mergeCell ref="M138:M142"/>
    <mergeCell ref="L138:L142"/>
    <mergeCell ref="M153:M157"/>
    <mergeCell ref="M158:M162"/>
    <mergeCell ref="M143:M147"/>
    <mergeCell ref="L163:L167"/>
    <mergeCell ref="C1:C2"/>
    <mergeCell ref="A5:A9"/>
    <mergeCell ref="M20:M24"/>
    <mergeCell ref="M15:M19"/>
    <mergeCell ref="L15:L19"/>
    <mergeCell ref="D1:D2"/>
    <mergeCell ref="F1:F2"/>
    <mergeCell ref="B15:B19"/>
    <mergeCell ref="M1:M2"/>
    <mergeCell ref="G1:K1"/>
    <mergeCell ref="L1:L2"/>
    <mergeCell ref="L103:L107"/>
    <mergeCell ref="M93:M97"/>
    <mergeCell ref="M68:M72"/>
    <mergeCell ref="L93:L97"/>
    <mergeCell ref="M73:M77"/>
    <mergeCell ref="L83:L87"/>
    <mergeCell ref="M83:M87"/>
    <mergeCell ref="M98:M102"/>
    <mergeCell ref="M103:M107"/>
    <mergeCell ref="B11:B14"/>
    <mergeCell ref="B5:B9"/>
    <mergeCell ref="B25:B29"/>
    <mergeCell ref="L25:L29"/>
    <mergeCell ref="L143:L147"/>
    <mergeCell ref="L123:L127"/>
    <mergeCell ref="L118:L122"/>
    <mergeCell ref="B143:B147"/>
    <mergeCell ref="L113:L117"/>
    <mergeCell ref="B123:B127"/>
    <mergeCell ref="A20:A24"/>
    <mergeCell ref="A10:A14"/>
    <mergeCell ref="A15:A19"/>
    <mergeCell ref="A25:A29"/>
    <mergeCell ref="B20:B24"/>
    <mergeCell ref="A4:M4"/>
    <mergeCell ref="M5:M9"/>
    <mergeCell ref="L10:L14"/>
    <mergeCell ref="L20:L24"/>
    <mergeCell ref="L5:L9"/>
    <mergeCell ref="E1:E2"/>
    <mergeCell ref="A1:A2"/>
    <mergeCell ref="B1:B2"/>
    <mergeCell ref="L35:L37"/>
    <mergeCell ref="M35:M37"/>
    <mergeCell ref="L68:L72"/>
    <mergeCell ref="M63:M67"/>
    <mergeCell ref="M43:M47"/>
    <mergeCell ref="A38:A42"/>
    <mergeCell ref="B63:B67"/>
    <mergeCell ref="M10:M14"/>
    <mergeCell ref="L98:L102"/>
    <mergeCell ref="B98:B102"/>
    <mergeCell ref="B128:B132"/>
    <mergeCell ref="M113:M117"/>
    <mergeCell ref="M118:M122"/>
    <mergeCell ref="L63:L67"/>
    <mergeCell ref="L128:L132"/>
    <mergeCell ref="B35:B37"/>
    <mergeCell ref="L30:L34"/>
    <mergeCell ref="A163:A167"/>
    <mergeCell ref="B163:B167"/>
    <mergeCell ref="B158:B162"/>
    <mergeCell ref="L153:L157"/>
    <mergeCell ref="L73:L77"/>
    <mergeCell ref="A153:A157"/>
    <mergeCell ref="L108:L112"/>
    <mergeCell ref="A93:A97"/>
    <mergeCell ref="A118:A122"/>
    <mergeCell ref="A133:A137"/>
    <mergeCell ref="A30:A34"/>
    <mergeCell ref="B148:B152"/>
    <mergeCell ref="B93:B97"/>
    <mergeCell ref="B118:B122"/>
    <mergeCell ref="B83:B87"/>
    <mergeCell ref="M78:M82"/>
    <mergeCell ref="L78:L82"/>
    <mergeCell ref="B30:B34"/>
    <mergeCell ref="B108:B112"/>
    <mergeCell ref="A123:A127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SheetLayoutView="100" zoomScalePageLayoutView="0" workbookViewId="0" topLeftCell="A1">
      <selection activeCell="B5" sqref="B5:B9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61" customWidth="1"/>
    <col min="10" max="10" width="9.8515625" style="61" bestFit="1" customWidth="1"/>
    <col min="11" max="11" width="9.421875" style="61" customWidth="1"/>
    <col min="12" max="12" width="10.8515625" style="0" customWidth="1"/>
    <col min="13" max="13" width="23.00390625" style="0" customWidth="1"/>
  </cols>
  <sheetData>
    <row r="1" spans="1:13" ht="61.5" customHeight="1">
      <c r="A1" s="111" t="s">
        <v>2</v>
      </c>
      <c r="B1" s="82" t="s">
        <v>36</v>
      </c>
      <c r="C1" s="111" t="s">
        <v>39</v>
      </c>
      <c r="D1" s="111" t="s">
        <v>3</v>
      </c>
      <c r="E1" s="111" t="s">
        <v>38</v>
      </c>
      <c r="F1" s="111" t="s">
        <v>4</v>
      </c>
      <c r="G1" s="111" t="s">
        <v>5</v>
      </c>
      <c r="H1" s="111"/>
      <c r="I1" s="111"/>
      <c r="J1" s="111"/>
      <c r="K1" s="111"/>
      <c r="L1" s="111" t="s">
        <v>6</v>
      </c>
      <c r="M1" s="111" t="s">
        <v>13</v>
      </c>
    </row>
    <row r="2" spans="1:13" ht="97.5" customHeight="1">
      <c r="A2" s="111"/>
      <c r="B2" s="82"/>
      <c r="C2" s="111"/>
      <c r="D2" s="111"/>
      <c r="E2" s="111"/>
      <c r="F2" s="111"/>
      <c r="G2" s="1" t="s">
        <v>77</v>
      </c>
      <c r="H2" s="7" t="s">
        <v>78</v>
      </c>
      <c r="I2" s="55" t="s">
        <v>74</v>
      </c>
      <c r="J2" s="55" t="s">
        <v>79</v>
      </c>
      <c r="K2" s="55" t="s">
        <v>80</v>
      </c>
      <c r="L2" s="111"/>
      <c r="M2" s="111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17.25" customHeight="1">
      <c r="A4" s="207" t="s">
        <v>23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21" customHeight="1">
      <c r="A5" s="157" t="s">
        <v>28</v>
      </c>
      <c r="B5" s="146" t="s">
        <v>109</v>
      </c>
      <c r="C5" s="17" t="s">
        <v>44</v>
      </c>
      <c r="D5" s="17" t="s">
        <v>7</v>
      </c>
      <c r="E5" s="18">
        <f aca="true" t="shared" si="0" ref="E5:K5">E6+E7+E8+E9</f>
        <v>304156.5</v>
      </c>
      <c r="F5" s="18">
        <f t="shared" si="0"/>
        <v>456056.74</v>
      </c>
      <c r="G5" s="18">
        <f t="shared" si="0"/>
        <v>293796.4699999999</v>
      </c>
      <c r="H5" s="18">
        <f t="shared" si="0"/>
        <v>26942.080000000024</v>
      </c>
      <c r="I5" s="47">
        <f t="shared" si="0"/>
        <v>41110.13</v>
      </c>
      <c r="J5" s="47">
        <f t="shared" si="0"/>
        <v>47099.03</v>
      </c>
      <c r="K5" s="47">
        <f t="shared" si="0"/>
        <v>47109.03</v>
      </c>
      <c r="L5" s="204" t="s">
        <v>58</v>
      </c>
      <c r="M5" s="86" t="s">
        <v>203</v>
      </c>
    </row>
    <row r="6" spans="1:13" ht="38.25" customHeight="1">
      <c r="A6" s="158"/>
      <c r="B6" s="147"/>
      <c r="C6" s="17" t="s">
        <v>44</v>
      </c>
      <c r="D6" s="17" t="s">
        <v>9</v>
      </c>
      <c r="E6" s="18">
        <f>E11</f>
        <v>0</v>
      </c>
      <c r="F6" s="18">
        <f>G6+H6+I6+J6+K6</f>
        <v>0</v>
      </c>
      <c r="G6" s="18">
        <f>G11+G16</f>
        <v>0</v>
      </c>
      <c r="H6" s="18">
        <f>H11+H16</f>
        <v>0</v>
      </c>
      <c r="I6" s="47">
        <f>I11+I16</f>
        <v>0</v>
      </c>
      <c r="J6" s="47">
        <f>J11+J16</f>
        <v>0</v>
      </c>
      <c r="K6" s="47">
        <f>K11+K16</f>
        <v>0</v>
      </c>
      <c r="L6" s="204"/>
      <c r="M6" s="107"/>
    </row>
    <row r="7" spans="1:13" ht="50.25" customHeight="1">
      <c r="A7" s="158"/>
      <c r="B7" s="147"/>
      <c r="C7" s="17" t="s">
        <v>44</v>
      </c>
      <c r="D7" s="17" t="s">
        <v>10</v>
      </c>
      <c r="E7" s="18">
        <f>E12</f>
        <v>0</v>
      </c>
      <c r="F7" s="18">
        <f>G7+H7+I7+J7+K7</f>
        <v>0</v>
      </c>
      <c r="G7" s="18">
        <f aca="true" t="shared" si="1" ref="G7:K9">G12+G17</f>
        <v>0</v>
      </c>
      <c r="H7" s="18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204"/>
      <c r="M7" s="107"/>
    </row>
    <row r="8" spans="1:17" ht="64.5" customHeight="1">
      <c r="A8" s="158"/>
      <c r="B8" s="147"/>
      <c r="C8" s="17" t="s">
        <v>44</v>
      </c>
      <c r="D8" s="22" t="s">
        <v>11</v>
      </c>
      <c r="E8" s="18">
        <f>E13</f>
        <v>303953.5</v>
      </c>
      <c r="F8" s="18">
        <f>G8+H8+I8+J8+K8</f>
        <v>454318.74</v>
      </c>
      <c r="G8" s="18">
        <f>G13+G18</f>
        <v>293688.4699999999</v>
      </c>
      <c r="H8" s="18">
        <f t="shared" si="1"/>
        <v>26842.080000000024</v>
      </c>
      <c r="I8" s="47">
        <f>I13+I18</f>
        <v>40610.13</v>
      </c>
      <c r="J8" s="47">
        <f t="shared" si="1"/>
        <v>46589.03</v>
      </c>
      <c r="K8" s="47">
        <f t="shared" si="1"/>
        <v>46589.03</v>
      </c>
      <c r="L8" s="204"/>
      <c r="M8" s="107"/>
      <c r="Q8" s="208"/>
    </row>
    <row r="9" spans="1:17" ht="152.25" customHeight="1">
      <c r="A9" s="159"/>
      <c r="B9" s="148"/>
      <c r="C9" s="17" t="s">
        <v>44</v>
      </c>
      <c r="D9" s="17" t="s">
        <v>34</v>
      </c>
      <c r="E9" s="18">
        <f>E14</f>
        <v>203</v>
      </c>
      <c r="F9" s="18">
        <f>G9+H9+I9+J9+K9</f>
        <v>1738</v>
      </c>
      <c r="G9" s="18">
        <f t="shared" si="1"/>
        <v>108</v>
      </c>
      <c r="H9" s="18">
        <f t="shared" si="1"/>
        <v>100</v>
      </c>
      <c r="I9" s="47">
        <f>I14+I19</f>
        <v>500</v>
      </c>
      <c r="J9" s="47">
        <f t="shared" si="1"/>
        <v>510</v>
      </c>
      <c r="K9" s="47">
        <f t="shared" si="1"/>
        <v>520</v>
      </c>
      <c r="L9" s="204"/>
      <c r="M9" s="108"/>
      <c r="P9" s="32"/>
      <c r="Q9" s="208"/>
    </row>
    <row r="10" spans="1:13" ht="27.75" customHeight="1">
      <c r="A10" s="206" t="s">
        <v>33</v>
      </c>
      <c r="B10" s="146" t="s">
        <v>138</v>
      </c>
      <c r="C10" s="17" t="s">
        <v>44</v>
      </c>
      <c r="D10" s="17" t="s">
        <v>7</v>
      </c>
      <c r="E10" s="18">
        <f aca="true" t="shared" si="2" ref="E10:K10">E11+E12+E13+E14</f>
        <v>304156.5</v>
      </c>
      <c r="F10" s="18">
        <f t="shared" si="2"/>
        <v>426943.36</v>
      </c>
      <c r="G10" s="18">
        <f t="shared" si="2"/>
        <v>291396.4699999999</v>
      </c>
      <c r="H10" s="18">
        <f t="shared" si="2"/>
        <v>22487.80000000002</v>
      </c>
      <c r="I10" s="47">
        <f t="shared" si="2"/>
        <v>33690.43</v>
      </c>
      <c r="J10" s="47">
        <f t="shared" si="2"/>
        <v>39679.33</v>
      </c>
      <c r="K10" s="47">
        <f t="shared" si="2"/>
        <v>39689.33</v>
      </c>
      <c r="L10" s="204" t="s">
        <v>58</v>
      </c>
      <c r="M10" s="83"/>
    </row>
    <row r="11" spans="1:13" ht="38.25" customHeight="1">
      <c r="A11" s="206"/>
      <c r="B11" s="84"/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204"/>
      <c r="M11" s="209"/>
    </row>
    <row r="12" spans="1:13" ht="52.5" customHeight="1">
      <c r="A12" s="206"/>
      <c r="B12" s="84"/>
      <c r="C12" s="17" t="s">
        <v>44</v>
      </c>
      <c r="D12" s="17" t="s">
        <v>10</v>
      </c>
      <c r="E12" s="18">
        <v>0</v>
      </c>
      <c r="F12" s="18">
        <f>G12+H12+I12+J12+K12</f>
        <v>0</v>
      </c>
      <c r="G12" s="18">
        <v>0</v>
      </c>
      <c r="H12" s="18">
        <v>0</v>
      </c>
      <c r="I12" s="47">
        <v>0</v>
      </c>
      <c r="J12" s="47">
        <v>0</v>
      </c>
      <c r="K12" s="47">
        <v>0</v>
      </c>
      <c r="L12" s="204"/>
      <c r="M12" s="209"/>
    </row>
    <row r="13" spans="1:13" ht="60.75" customHeight="1">
      <c r="A13" s="206"/>
      <c r="B13" s="84"/>
      <c r="C13" s="17" t="s">
        <v>44</v>
      </c>
      <c r="D13" s="17" t="s">
        <v>11</v>
      </c>
      <c r="E13" s="18">
        <v>303953.5</v>
      </c>
      <c r="F13" s="18">
        <f>G13+H13+I13+J13+K13</f>
        <v>425205.36</v>
      </c>
      <c r="G13" s="18">
        <f>302679-2400+11339.8+78.12-300-106+2280-18516.65+1450-3129.2-574.9-1136-375.7</f>
        <v>291288.4699999999</v>
      </c>
      <c r="H13" s="47">
        <f>212828.2-201908.9-732.66+7045.98+97.65+200+628.9+399+665+301+2483.63+380</f>
        <v>22387.80000000002</v>
      </c>
      <c r="I13" s="47">
        <f>26206.3-500+7219.03+65.1+200</f>
        <v>33190.43</v>
      </c>
      <c r="J13" s="47">
        <v>39169.33</v>
      </c>
      <c r="K13" s="47">
        <v>39169.33</v>
      </c>
      <c r="L13" s="204"/>
      <c r="M13" s="209"/>
    </row>
    <row r="14" spans="1:13" ht="30" customHeight="1">
      <c r="A14" s="206"/>
      <c r="B14" s="85"/>
      <c r="C14" s="17" t="s">
        <v>44</v>
      </c>
      <c r="D14" s="17" t="s">
        <v>34</v>
      </c>
      <c r="E14" s="18">
        <v>203</v>
      </c>
      <c r="F14" s="18">
        <f>G14+H14+I14+J14+K14</f>
        <v>1738</v>
      </c>
      <c r="G14" s="18">
        <f>150-42</f>
        <v>108</v>
      </c>
      <c r="H14" s="18">
        <f>150-50</f>
        <v>100</v>
      </c>
      <c r="I14" s="47">
        <v>500</v>
      </c>
      <c r="J14" s="47">
        <v>510</v>
      </c>
      <c r="K14" s="47">
        <v>520</v>
      </c>
      <c r="L14" s="204"/>
      <c r="M14" s="210"/>
    </row>
    <row r="15" spans="1:13" ht="24" customHeight="1">
      <c r="A15" s="157" t="s">
        <v>98</v>
      </c>
      <c r="B15" s="146" t="s">
        <v>139</v>
      </c>
      <c r="C15" s="17" t="s">
        <v>44</v>
      </c>
      <c r="D15" s="17" t="s">
        <v>7</v>
      </c>
      <c r="E15" s="18">
        <f>E16+E17+E18+E19</f>
        <v>0</v>
      </c>
      <c r="F15" s="18">
        <f aca="true" t="shared" si="3" ref="F15:K15">F16+F17+F18+F19</f>
        <v>29113.38</v>
      </c>
      <c r="G15" s="18">
        <f t="shared" si="3"/>
        <v>2400</v>
      </c>
      <c r="H15" s="18">
        <f t="shared" si="3"/>
        <v>4454.280000000001</v>
      </c>
      <c r="I15" s="47">
        <f t="shared" si="3"/>
        <v>7419.7</v>
      </c>
      <c r="J15" s="47">
        <f t="shared" si="3"/>
        <v>7419.7</v>
      </c>
      <c r="K15" s="47">
        <f t="shared" si="3"/>
        <v>7419.7</v>
      </c>
      <c r="L15" s="146" t="s">
        <v>99</v>
      </c>
      <c r="M15" s="83"/>
    </row>
    <row r="16" spans="1:13" ht="38.25" customHeight="1">
      <c r="A16" s="98"/>
      <c r="B16" s="84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>
        <v>0</v>
      </c>
      <c r="L16" s="84"/>
      <c r="M16" s="84"/>
    </row>
    <row r="17" spans="1:13" ht="51" customHeight="1">
      <c r="A17" s="98"/>
      <c r="B17" s="84"/>
      <c r="C17" s="17" t="s">
        <v>44</v>
      </c>
      <c r="D17" s="17" t="s">
        <v>10</v>
      </c>
      <c r="E17" s="18">
        <v>0</v>
      </c>
      <c r="F17" s="18">
        <f>G17+H17+I17+J17+K17</f>
        <v>0</v>
      </c>
      <c r="G17" s="18">
        <v>0</v>
      </c>
      <c r="H17" s="18">
        <v>0</v>
      </c>
      <c r="I17" s="47">
        <v>0</v>
      </c>
      <c r="J17" s="47">
        <v>0</v>
      </c>
      <c r="K17" s="47">
        <v>0</v>
      </c>
      <c r="L17" s="84"/>
      <c r="M17" s="84"/>
    </row>
    <row r="18" spans="1:13" ht="62.25" customHeight="1">
      <c r="A18" s="98"/>
      <c r="B18" s="84"/>
      <c r="C18" s="17" t="s">
        <v>44</v>
      </c>
      <c r="D18" s="17" t="s">
        <v>11</v>
      </c>
      <c r="E18" s="18">
        <v>0</v>
      </c>
      <c r="F18" s="18">
        <f>G18+H18+I18+J18+K18</f>
        <v>29113.38</v>
      </c>
      <c r="G18" s="18">
        <v>2400</v>
      </c>
      <c r="H18" s="18">
        <f>5781.6-704.24-423.08-200</f>
        <v>4454.280000000001</v>
      </c>
      <c r="I18" s="47">
        <v>7419.7</v>
      </c>
      <c r="J18" s="47">
        <v>7419.7</v>
      </c>
      <c r="K18" s="47">
        <v>7419.7</v>
      </c>
      <c r="L18" s="84"/>
      <c r="M18" s="84"/>
    </row>
    <row r="19" spans="1:13" ht="30" customHeight="1">
      <c r="A19" s="99"/>
      <c r="B19" s="85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85"/>
      <c r="M19" s="85"/>
    </row>
    <row r="20" spans="1:13" ht="25.5" customHeight="1">
      <c r="A20" s="130" t="s">
        <v>204</v>
      </c>
      <c r="B20" s="169" t="s">
        <v>206</v>
      </c>
      <c r="C20" s="17" t="s">
        <v>168</v>
      </c>
      <c r="D20" s="17" t="s">
        <v>7</v>
      </c>
      <c r="E20" s="18">
        <f>E21+E22+E23+E24</f>
        <v>0</v>
      </c>
      <c r="F20" s="18">
        <f aca="true" t="shared" si="4" ref="F20:K20">F21+F22+F23+F24</f>
        <v>5625</v>
      </c>
      <c r="G20" s="18">
        <f t="shared" si="4"/>
        <v>0</v>
      </c>
      <c r="H20" s="18">
        <f t="shared" si="4"/>
        <v>0</v>
      </c>
      <c r="I20" s="18">
        <f t="shared" si="4"/>
        <v>5625</v>
      </c>
      <c r="J20" s="18">
        <f t="shared" si="4"/>
        <v>0</v>
      </c>
      <c r="K20" s="18">
        <f t="shared" si="4"/>
        <v>0</v>
      </c>
      <c r="L20" s="146" t="s">
        <v>215</v>
      </c>
      <c r="M20" s="86" t="s">
        <v>208</v>
      </c>
    </row>
    <row r="21" spans="1:13" ht="36.75" customHeight="1">
      <c r="A21" s="98"/>
      <c r="B21" s="84"/>
      <c r="C21" s="17" t="s">
        <v>168</v>
      </c>
      <c r="D21" s="17" t="s">
        <v>9</v>
      </c>
      <c r="E21" s="18">
        <v>0</v>
      </c>
      <c r="F21" s="18">
        <f>G21+H21+I21+J21+K21</f>
        <v>0</v>
      </c>
      <c r="G21" s="18">
        <f>G31+G26</f>
        <v>0</v>
      </c>
      <c r="H21" s="18">
        <f>H31+H26</f>
        <v>0</v>
      </c>
      <c r="I21" s="18">
        <f>I31+I26</f>
        <v>0</v>
      </c>
      <c r="J21" s="18">
        <f>J31+J26</f>
        <v>0</v>
      </c>
      <c r="K21" s="18">
        <f>K31+K26</f>
        <v>0</v>
      </c>
      <c r="L21" s="80"/>
      <c r="M21" s="80"/>
    </row>
    <row r="22" spans="1:13" ht="48.75" customHeight="1">
      <c r="A22" s="98"/>
      <c r="B22" s="84"/>
      <c r="C22" s="17" t="s">
        <v>168</v>
      </c>
      <c r="D22" s="17" t="s">
        <v>10</v>
      </c>
      <c r="E22" s="18">
        <v>0</v>
      </c>
      <c r="F22" s="18">
        <f>G22+H22+I22+J22+K22</f>
        <v>5625</v>
      </c>
      <c r="G22" s="18">
        <f aca="true" t="shared" si="5" ref="G22:K24">G32+G27</f>
        <v>0</v>
      </c>
      <c r="H22" s="18">
        <f t="shared" si="5"/>
        <v>0</v>
      </c>
      <c r="I22" s="18">
        <f t="shared" si="5"/>
        <v>5625</v>
      </c>
      <c r="J22" s="18">
        <f t="shared" si="5"/>
        <v>0</v>
      </c>
      <c r="K22" s="18">
        <f t="shared" si="5"/>
        <v>0</v>
      </c>
      <c r="L22" s="80"/>
      <c r="M22" s="80"/>
    </row>
    <row r="23" spans="1:13" ht="60.75" customHeight="1">
      <c r="A23" s="98"/>
      <c r="B23" s="84"/>
      <c r="C23" s="17" t="s">
        <v>168</v>
      </c>
      <c r="D23" s="17" t="s">
        <v>11</v>
      </c>
      <c r="E23" s="18">
        <v>0</v>
      </c>
      <c r="F23" s="18">
        <f>G23+H23+I23+J23+K23</f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80"/>
      <c r="M23" s="80"/>
    </row>
    <row r="24" spans="1:13" ht="30" customHeight="1">
      <c r="A24" s="99"/>
      <c r="B24" s="85"/>
      <c r="C24" s="17" t="s">
        <v>168</v>
      </c>
      <c r="D24" s="17" t="s">
        <v>34</v>
      </c>
      <c r="E24" s="18">
        <v>0</v>
      </c>
      <c r="F24" s="18">
        <f>G24+H24+I24+J24+K24</f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81"/>
      <c r="M24" s="81"/>
    </row>
    <row r="25" spans="1:13" ht="24.75" customHeight="1">
      <c r="A25" s="90" t="s">
        <v>210</v>
      </c>
      <c r="B25" s="79" t="s">
        <v>211</v>
      </c>
      <c r="C25" s="17" t="s">
        <v>168</v>
      </c>
      <c r="D25" s="17" t="s">
        <v>7</v>
      </c>
      <c r="E25" s="18">
        <v>0</v>
      </c>
      <c r="F25" s="18">
        <f aca="true" t="shared" si="6" ref="F25:K25">F26+F27+F28+F29</f>
        <v>5625</v>
      </c>
      <c r="G25" s="18">
        <f t="shared" si="6"/>
        <v>0</v>
      </c>
      <c r="H25" s="18">
        <f t="shared" si="6"/>
        <v>0</v>
      </c>
      <c r="I25" s="18">
        <f t="shared" si="6"/>
        <v>5625</v>
      </c>
      <c r="J25" s="18">
        <f t="shared" si="6"/>
        <v>0</v>
      </c>
      <c r="K25" s="18">
        <f t="shared" si="6"/>
        <v>0</v>
      </c>
      <c r="L25" s="79" t="s">
        <v>8</v>
      </c>
      <c r="M25" s="79"/>
    </row>
    <row r="26" spans="1:13" ht="38.25" customHeight="1">
      <c r="A26" s="116"/>
      <c r="B26" s="80"/>
      <c r="C26" s="17" t="s">
        <v>168</v>
      </c>
      <c r="D26" s="17" t="s">
        <v>9</v>
      </c>
      <c r="E26" s="18">
        <v>0</v>
      </c>
      <c r="F26" s="18">
        <f>G26+H26+I26+J26+K26</f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80"/>
      <c r="M26" s="80"/>
    </row>
    <row r="27" spans="1:13" ht="48" customHeight="1">
      <c r="A27" s="116"/>
      <c r="B27" s="80"/>
      <c r="C27" s="17" t="s">
        <v>168</v>
      </c>
      <c r="D27" s="17" t="s">
        <v>10</v>
      </c>
      <c r="E27" s="18">
        <v>0</v>
      </c>
      <c r="F27" s="18">
        <f>G27+H27+I27+J27+K27</f>
        <v>5625</v>
      </c>
      <c r="G27" s="18">
        <v>0</v>
      </c>
      <c r="H27" s="18">
        <v>0</v>
      </c>
      <c r="I27" s="18">
        <v>5625</v>
      </c>
      <c r="J27" s="18">
        <v>0</v>
      </c>
      <c r="K27" s="18">
        <v>0</v>
      </c>
      <c r="L27" s="80"/>
      <c r="M27" s="80"/>
    </row>
    <row r="28" spans="1:13" ht="63.75" customHeight="1">
      <c r="A28" s="116"/>
      <c r="B28" s="80"/>
      <c r="C28" s="17" t="s">
        <v>168</v>
      </c>
      <c r="D28" s="17" t="s">
        <v>11</v>
      </c>
      <c r="E28" s="18">
        <v>0</v>
      </c>
      <c r="F28" s="18">
        <f>G28+H28+I28+J28+K28</f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80"/>
      <c r="M28" s="80"/>
    </row>
    <row r="29" spans="1:13" ht="30" customHeight="1">
      <c r="A29" s="117"/>
      <c r="B29" s="81"/>
      <c r="C29" s="17" t="s">
        <v>168</v>
      </c>
      <c r="D29" s="17" t="s">
        <v>34</v>
      </c>
      <c r="E29" s="18">
        <v>0</v>
      </c>
      <c r="F29" s="18">
        <f>G29+H29+I29+J29+K29</f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81"/>
      <c r="M29" s="81"/>
    </row>
    <row r="30" spans="1:13" ht="25.5" customHeight="1">
      <c r="A30" s="130" t="s">
        <v>205</v>
      </c>
      <c r="B30" s="169" t="s">
        <v>207</v>
      </c>
      <c r="C30" s="17" t="s">
        <v>168</v>
      </c>
      <c r="D30" s="17" t="s">
        <v>7</v>
      </c>
      <c r="E30" s="18">
        <f>E31+E32+E33+E34</f>
        <v>0</v>
      </c>
      <c r="F30" s="18">
        <f aca="true" t="shared" si="7" ref="F30:K30">F31+F32+F33+F34</f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  <c r="K30" s="18">
        <f t="shared" si="7"/>
        <v>0</v>
      </c>
      <c r="L30" s="146" t="s">
        <v>8</v>
      </c>
      <c r="M30" s="211"/>
    </row>
    <row r="31" spans="1:13" ht="38.25" customHeight="1">
      <c r="A31" s="98"/>
      <c r="B31" s="84"/>
      <c r="C31" s="17" t="s">
        <v>168</v>
      </c>
      <c r="D31" s="17" t="s">
        <v>9</v>
      </c>
      <c r="E31" s="18">
        <v>0</v>
      </c>
      <c r="F31" s="18">
        <f>G31+G31+H31+I31+J31+K31</f>
        <v>0</v>
      </c>
      <c r="G31" s="18">
        <v>0</v>
      </c>
      <c r="H31" s="18">
        <v>0</v>
      </c>
      <c r="I31" s="47">
        <v>0</v>
      </c>
      <c r="J31" s="47">
        <v>0</v>
      </c>
      <c r="K31" s="47">
        <v>0</v>
      </c>
      <c r="L31" s="84"/>
      <c r="M31" s="84"/>
    </row>
    <row r="32" spans="1:13" ht="50.25" customHeight="1">
      <c r="A32" s="98"/>
      <c r="B32" s="84"/>
      <c r="C32" s="17" t="s">
        <v>168</v>
      </c>
      <c r="D32" s="17" t="s">
        <v>10</v>
      </c>
      <c r="E32" s="18">
        <v>0</v>
      </c>
      <c r="F32" s="18">
        <f>G32+G32+H32+I32+J32+K32</f>
        <v>0</v>
      </c>
      <c r="G32" s="18">
        <v>0</v>
      </c>
      <c r="H32" s="18">
        <v>0</v>
      </c>
      <c r="I32" s="47">
        <f>5625-5625</f>
        <v>0</v>
      </c>
      <c r="J32" s="47">
        <v>0</v>
      </c>
      <c r="K32" s="47">
        <v>0</v>
      </c>
      <c r="L32" s="84"/>
      <c r="M32" s="84"/>
    </row>
    <row r="33" spans="1:13" ht="62.25" customHeight="1">
      <c r="A33" s="98"/>
      <c r="B33" s="84"/>
      <c r="C33" s="17" t="s">
        <v>168</v>
      </c>
      <c r="D33" s="17" t="s">
        <v>11</v>
      </c>
      <c r="E33" s="18">
        <v>0</v>
      </c>
      <c r="F33" s="18">
        <f>G33+G33+H33+I33+J33+K33</f>
        <v>0</v>
      </c>
      <c r="G33" s="18">
        <v>0</v>
      </c>
      <c r="H33" s="18">
        <v>0</v>
      </c>
      <c r="I33" s="47">
        <v>0</v>
      </c>
      <c r="J33" s="47">
        <v>0</v>
      </c>
      <c r="K33" s="47">
        <v>0</v>
      </c>
      <c r="L33" s="84"/>
      <c r="M33" s="84"/>
    </row>
    <row r="34" spans="1:13" ht="30" customHeight="1">
      <c r="A34" s="99"/>
      <c r="B34" s="85"/>
      <c r="C34" s="17" t="s">
        <v>168</v>
      </c>
      <c r="D34" s="17" t="s">
        <v>34</v>
      </c>
      <c r="E34" s="18">
        <v>0</v>
      </c>
      <c r="F34" s="18">
        <f>G34+G34+H34+I34+J34+K34</f>
        <v>0</v>
      </c>
      <c r="G34" s="18">
        <v>0</v>
      </c>
      <c r="H34" s="18">
        <v>0</v>
      </c>
      <c r="I34" s="47">
        <v>0</v>
      </c>
      <c r="J34" s="47">
        <v>0</v>
      </c>
      <c r="K34" s="47">
        <v>0</v>
      </c>
      <c r="L34" s="85"/>
      <c r="M34" s="85"/>
    </row>
    <row r="35" spans="1:13" ht="30" customHeight="1">
      <c r="A35" s="90" t="s">
        <v>29</v>
      </c>
      <c r="B35" s="79" t="s">
        <v>157</v>
      </c>
      <c r="C35" s="17" t="s">
        <v>44</v>
      </c>
      <c r="D35" s="17" t="s">
        <v>7</v>
      </c>
      <c r="E35" s="18">
        <f>E36+E37+E38+E39</f>
        <v>0</v>
      </c>
      <c r="F35" s="18">
        <f aca="true" t="shared" si="8" ref="F35:K35">F36+F37+F38+F39</f>
        <v>0</v>
      </c>
      <c r="G35" s="18">
        <f t="shared" si="8"/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79" t="s">
        <v>41</v>
      </c>
      <c r="M35" s="79" t="s">
        <v>196</v>
      </c>
    </row>
    <row r="36" spans="1:13" ht="37.5" customHeight="1">
      <c r="A36" s="116"/>
      <c r="B36" s="80"/>
      <c r="C36" s="17" t="s">
        <v>44</v>
      </c>
      <c r="D36" s="17" t="s">
        <v>9</v>
      </c>
      <c r="E36" s="18">
        <v>0</v>
      </c>
      <c r="F36" s="18">
        <f>G36+H36+I36+J36+K36</f>
        <v>0</v>
      </c>
      <c r="G36" s="18">
        <f>G41</f>
        <v>0</v>
      </c>
      <c r="H36" s="18">
        <f>H41</f>
        <v>0</v>
      </c>
      <c r="I36" s="18">
        <f>I41</f>
        <v>0</v>
      </c>
      <c r="J36" s="18">
        <f>J41</f>
        <v>0</v>
      </c>
      <c r="K36" s="18">
        <f>K41</f>
        <v>0</v>
      </c>
      <c r="L36" s="80"/>
      <c r="M36" s="80"/>
    </row>
    <row r="37" spans="1:13" ht="51" customHeight="1">
      <c r="A37" s="116"/>
      <c r="B37" s="80"/>
      <c r="C37" s="17" t="s">
        <v>44</v>
      </c>
      <c r="D37" s="17" t="s">
        <v>10</v>
      </c>
      <c r="E37" s="18">
        <v>0</v>
      </c>
      <c r="F37" s="18">
        <f>G37+H37+I37+J37+K37</f>
        <v>0</v>
      </c>
      <c r="G37" s="18">
        <f aca="true" t="shared" si="9" ref="G37:K39">G42</f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80"/>
      <c r="M37" s="80"/>
    </row>
    <row r="38" spans="1:13" ht="62.25" customHeight="1">
      <c r="A38" s="116"/>
      <c r="B38" s="80"/>
      <c r="C38" s="17" t="s">
        <v>44</v>
      </c>
      <c r="D38" s="17" t="s">
        <v>11</v>
      </c>
      <c r="E38" s="18">
        <v>0</v>
      </c>
      <c r="F38" s="18">
        <f>G38+H38+I38+J38+K38</f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80"/>
      <c r="M38" s="80"/>
    </row>
    <row r="39" spans="1:13" ht="30" customHeight="1">
      <c r="A39" s="117"/>
      <c r="B39" s="81"/>
      <c r="C39" s="17" t="s">
        <v>44</v>
      </c>
      <c r="D39" s="17" t="s">
        <v>34</v>
      </c>
      <c r="E39" s="18">
        <v>0</v>
      </c>
      <c r="F39" s="18">
        <f>G39+H39+I39+J39+K39</f>
        <v>0</v>
      </c>
      <c r="G39" s="18">
        <f t="shared" si="9"/>
        <v>0</v>
      </c>
      <c r="H39" s="18">
        <f t="shared" si="9"/>
        <v>0</v>
      </c>
      <c r="I39" s="18">
        <f t="shared" si="9"/>
        <v>0</v>
      </c>
      <c r="J39" s="18">
        <f t="shared" si="9"/>
        <v>0</v>
      </c>
      <c r="K39" s="18">
        <f t="shared" si="9"/>
        <v>0</v>
      </c>
      <c r="L39" s="81"/>
      <c r="M39" s="81"/>
    </row>
    <row r="40" spans="1:13" ht="27" customHeight="1">
      <c r="A40" s="94" t="s">
        <v>31</v>
      </c>
      <c r="B40" s="79" t="s">
        <v>140</v>
      </c>
      <c r="C40" s="17" t="s">
        <v>44</v>
      </c>
      <c r="D40" s="17" t="s">
        <v>7</v>
      </c>
      <c r="E40" s="18">
        <f>E41+E42+E43+E44</f>
        <v>0</v>
      </c>
      <c r="F40" s="18">
        <f aca="true" t="shared" si="10" ref="F40:K40">F41+F42+F43+F44</f>
        <v>0</v>
      </c>
      <c r="G40" s="18">
        <f t="shared" si="10"/>
        <v>0</v>
      </c>
      <c r="H40" s="18">
        <f t="shared" si="10"/>
        <v>0</v>
      </c>
      <c r="I40" s="47">
        <f t="shared" si="10"/>
        <v>0</v>
      </c>
      <c r="J40" s="47">
        <f t="shared" si="10"/>
        <v>0</v>
      </c>
      <c r="K40" s="47">
        <f t="shared" si="10"/>
        <v>0</v>
      </c>
      <c r="L40" s="204" t="s">
        <v>41</v>
      </c>
      <c r="M40" s="89"/>
    </row>
    <row r="41" spans="1:13" ht="39" customHeight="1">
      <c r="A41" s="116"/>
      <c r="B41" s="80"/>
      <c r="C41" s="17" t="s">
        <v>44</v>
      </c>
      <c r="D41" s="17" t="s">
        <v>9</v>
      </c>
      <c r="E41" s="18">
        <v>0</v>
      </c>
      <c r="F41" s="18">
        <f>G41+H41+I41+J41+K41</f>
        <v>0</v>
      </c>
      <c r="G41" s="18">
        <v>0</v>
      </c>
      <c r="H41" s="18">
        <v>0</v>
      </c>
      <c r="I41" s="47">
        <v>0</v>
      </c>
      <c r="J41" s="47">
        <v>0</v>
      </c>
      <c r="K41" s="47">
        <v>0</v>
      </c>
      <c r="L41" s="204"/>
      <c r="M41" s="84"/>
    </row>
    <row r="42" spans="1:13" ht="51.75" customHeight="1">
      <c r="A42" s="116"/>
      <c r="B42" s="80"/>
      <c r="C42" s="17" t="s">
        <v>44</v>
      </c>
      <c r="D42" s="17" t="s">
        <v>10</v>
      </c>
      <c r="E42" s="18">
        <v>0</v>
      </c>
      <c r="F42" s="18">
        <f>G42+H42+I42+J42+K42</f>
        <v>0</v>
      </c>
      <c r="G42" s="18">
        <v>0</v>
      </c>
      <c r="H42" s="18">
        <v>0</v>
      </c>
      <c r="I42" s="47">
        <v>0</v>
      </c>
      <c r="J42" s="47">
        <v>0</v>
      </c>
      <c r="K42" s="47">
        <v>0</v>
      </c>
      <c r="L42" s="204"/>
      <c r="M42" s="84"/>
    </row>
    <row r="43" spans="1:13" ht="63.75" customHeight="1">
      <c r="A43" s="116"/>
      <c r="B43" s="80"/>
      <c r="C43" s="17" t="s">
        <v>44</v>
      </c>
      <c r="D43" s="17" t="s">
        <v>11</v>
      </c>
      <c r="E43" s="18">
        <v>0</v>
      </c>
      <c r="F43" s="18">
        <f>G43+H43+I43+J43+K43</f>
        <v>0</v>
      </c>
      <c r="G43" s="18">
        <v>0</v>
      </c>
      <c r="H43" s="18">
        <v>0</v>
      </c>
      <c r="I43" s="47">
        <v>0</v>
      </c>
      <c r="J43" s="47">
        <v>0</v>
      </c>
      <c r="K43" s="47">
        <v>0</v>
      </c>
      <c r="L43" s="204"/>
      <c r="M43" s="84"/>
    </row>
    <row r="44" spans="1:13" ht="30" customHeight="1">
      <c r="A44" s="117"/>
      <c r="B44" s="81"/>
      <c r="C44" s="17" t="s">
        <v>44</v>
      </c>
      <c r="D44" s="17" t="s">
        <v>34</v>
      </c>
      <c r="E44" s="18">
        <v>0</v>
      </c>
      <c r="F44" s="18">
        <f>G44+H44+I44+J44+K44</f>
        <v>0</v>
      </c>
      <c r="G44" s="18">
        <v>0</v>
      </c>
      <c r="H44" s="18">
        <v>0</v>
      </c>
      <c r="I44" s="47">
        <v>0</v>
      </c>
      <c r="J44" s="47">
        <v>0</v>
      </c>
      <c r="K44" s="47">
        <v>0</v>
      </c>
      <c r="L44" s="204"/>
      <c r="M44" s="85"/>
    </row>
    <row r="45" spans="1:13" ht="19.5" customHeight="1">
      <c r="A45" s="157" t="s">
        <v>30</v>
      </c>
      <c r="B45" s="146" t="s">
        <v>110</v>
      </c>
      <c r="C45" s="17" t="s">
        <v>44</v>
      </c>
      <c r="D45" s="17" t="s">
        <v>7</v>
      </c>
      <c r="E45" s="18">
        <f aca="true" t="shared" si="11" ref="E45:K45">E46+E47+E48+E49</f>
        <v>18015</v>
      </c>
      <c r="F45" s="18">
        <f t="shared" si="11"/>
        <v>336636.42000000004</v>
      </c>
      <c r="G45" s="18">
        <f t="shared" si="11"/>
        <v>25073.750000000004</v>
      </c>
      <c r="H45" s="18">
        <f t="shared" si="11"/>
        <v>87612.76000000001</v>
      </c>
      <c r="I45" s="47">
        <f t="shared" si="11"/>
        <v>74649.97</v>
      </c>
      <c r="J45" s="47">
        <f t="shared" si="11"/>
        <v>74649.97</v>
      </c>
      <c r="K45" s="47">
        <f t="shared" si="11"/>
        <v>74649.97</v>
      </c>
      <c r="L45" s="204" t="s">
        <v>201</v>
      </c>
      <c r="M45" s="86" t="s">
        <v>196</v>
      </c>
    </row>
    <row r="46" spans="1:13" ht="36">
      <c r="A46" s="158"/>
      <c r="B46" s="147"/>
      <c r="C46" s="17" t="s">
        <v>44</v>
      </c>
      <c r="D46" s="17" t="s">
        <v>9</v>
      </c>
      <c r="E46" s="18">
        <f>E51</f>
        <v>0</v>
      </c>
      <c r="F46" s="18">
        <f>G46+H46+I46+J46+K46</f>
        <v>0</v>
      </c>
      <c r="G46" s="18">
        <f aca="true" t="shared" si="12" ref="G46:K48">G51</f>
        <v>0</v>
      </c>
      <c r="H46" s="18">
        <f t="shared" si="12"/>
        <v>0</v>
      </c>
      <c r="I46" s="47">
        <f t="shared" si="12"/>
        <v>0</v>
      </c>
      <c r="J46" s="47">
        <f t="shared" si="12"/>
        <v>0</v>
      </c>
      <c r="K46" s="47">
        <f t="shared" si="12"/>
        <v>0</v>
      </c>
      <c r="L46" s="204"/>
      <c r="M46" s="107"/>
    </row>
    <row r="47" spans="1:13" ht="48">
      <c r="A47" s="158"/>
      <c r="B47" s="147"/>
      <c r="C47" s="17" t="s">
        <v>44</v>
      </c>
      <c r="D47" s="17" t="s">
        <v>10</v>
      </c>
      <c r="E47" s="18">
        <f>E52</f>
        <v>0</v>
      </c>
      <c r="F47" s="18">
        <f>G47+H47+I47+J47+K47</f>
        <v>0</v>
      </c>
      <c r="G47" s="18">
        <f t="shared" si="12"/>
        <v>0</v>
      </c>
      <c r="H47" s="18">
        <f t="shared" si="12"/>
        <v>0</v>
      </c>
      <c r="I47" s="47">
        <f t="shared" si="12"/>
        <v>0</v>
      </c>
      <c r="J47" s="47">
        <f t="shared" si="12"/>
        <v>0</v>
      </c>
      <c r="K47" s="47">
        <f t="shared" si="12"/>
        <v>0</v>
      </c>
      <c r="L47" s="204"/>
      <c r="M47" s="107"/>
    </row>
    <row r="48" spans="1:13" ht="60">
      <c r="A48" s="158"/>
      <c r="B48" s="147"/>
      <c r="C48" s="17" t="s">
        <v>44</v>
      </c>
      <c r="D48" s="17" t="s">
        <v>11</v>
      </c>
      <c r="E48" s="18">
        <f>E53</f>
        <v>18015</v>
      </c>
      <c r="F48" s="18">
        <f>G48+H48+I48+J48+K48</f>
        <v>336636.42000000004</v>
      </c>
      <c r="G48" s="18">
        <f t="shared" si="12"/>
        <v>25073.750000000004</v>
      </c>
      <c r="H48" s="18">
        <f t="shared" si="12"/>
        <v>87612.76000000001</v>
      </c>
      <c r="I48" s="18">
        <f t="shared" si="12"/>
        <v>74649.97</v>
      </c>
      <c r="J48" s="18">
        <f t="shared" si="12"/>
        <v>74649.97</v>
      </c>
      <c r="K48" s="18">
        <f t="shared" si="12"/>
        <v>74649.97</v>
      </c>
      <c r="L48" s="204"/>
      <c r="M48" s="107"/>
    </row>
    <row r="49" spans="1:13" ht="32.25" customHeight="1">
      <c r="A49" s="159"/>
      <c r="B49" s="148"/>
      <c r="C49" s="17" t="s">
        <v>44</v>
      </c>
      <c r="D49" s="17" t="s">
        <v>34</v>
      </c>
      <c r="E49" s="18">
        <f aca="true" t="shared" si="13" ref="E49:K49">E54</f>
        <v>0</v>
      </c>
      <c r="F49" s="18">
        <f>G49+H49+I49+J49+K49</f>
        <v>0</v>
      </c>
      <c r="G49" s="18">
        <f t="shared" si="13"/>
        <v>0</v>
      </c>
      <c r="H49" s="18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204"/>
      <c r="M49" s="108"/>
    </row>
    <row r="50" spans="1:13" ht="19.5" customHeight="1">
      <c r="A50" s="206" t="s">
        <v>32</v>
      </c>
      <c r="B50" s="16" t="s">
        <v>141</v>
      </c>
      <c r="C50" s="17" t="s">
        <v>44</v>
      </c>
      <c r="D50" s="17" t="s">
        <v>7</v>
      </c>
      <c r="E50" s="18">
        <f aca="true" t="shared" si="14" ref="E50:K50">E51+E52+E53+E54</f>
        <v>18015</v>
      </c>
      <c r="F50" s="18">
        <f t="shared" si="14"/>
        <v>336636.42000000004</v>
      </c>
      <c r="G50" s="18">
        <f t="shared" si="14"/>
        <v>25073.750000000004</v>
      </c>
      <c r="H50" s="18">
        <f t="shared" si="14"/>
        <v>87612.76000000001</v>
      </c>
      <c r="I50" s="47">
        <f t="shared" si="14"/>
        <v>74649.97</v>
      </c>
      <c r="J50" s="47">
        <f t="shared" si="14"/>
        <v>74649.97</v>
      </c>
      <c r="K50" s="47">
        <f t="shared" si="14"/>
        <v>74649.97</v>
      </c>
      <c r="L50" s="204" t="s">
        <v>200</v>
      </c>
      <c r="M50" s="205"/>
    </row>
    <row r="51" spans="1:13" ht="36">
      <c r="A51" s="206"/>
      <c r="B51" s="147" t="s">
        <v>55</v>
      </c>
      <c r="C51" s="17" t="s">
        <v>44</v>
      </c>
      <c r="D51" s="17" t="s">
        <v>9</v>
      </c>
      <c r="E51" s="18">
        <v>0</v>
      </c>
      <c r="F51" s="18">
        <f>G51+H51+I51+J51+K51</f>
        <v>0</v>
      </c>
      <c r="G51" s="18">
        <v>0</v>
      </c>
      <c r="H51" s="18">
        <v>0</v>
      </c>
      <c r="I51" s="47">
        <v>0</v>
      </c>
      <c r="J51" s="72">
        <v>0</v>
      </c>
      <c r="K51" s="72">
        <v>0</v>
      </c>
      <c r="L51" s="204"/>
      <c r="M51" s="205"/>
    </row>
    <row r="52" spans="1:13" ht="51" customHeight="1">
      <c r="A52" s="206"/>
      <c r="B52" s="147"/>
      <c r="C52" s="17" t="s">
        <v>44</v>
      </c>
      <c r="D52" s="17" t="s">
        <v>10</v>
      </c>
      <c r="E52" s="18">
        <v>0</v>
      </c>
      <c r="F52" s="18">
        <f>G52+H52+I52+J52+K52</f>
        <v>0</v>
      </c>
      <c r="G52" s="18">
        <v>0</v>
      </c>
      <c r="H52" s="18">
        <v>0</v>
      </c>
      <c r="I52" s="47">
        <v>0</v>
      </c>
      <c r="J52" s="72">
        <v>0</v>
      </c>
      <c r="K52" s="72">
        <v>0</v>
      </c>
      <c r="L52" s="204"/>
      <c r="M52" s="205"/>
    </row>
    <row r="53" spans="1:13" ht="60">
      <c r="A53" s="206"/>
      <c r="B53" s="147"/>
      <c r="C53" s="17" t="s">
        <v>44</v>
      </c>
      <c r="D53" s="17" t="s">
        <v>11</v>
      </c>
      <c r="E53" s="18">
        <v>18015</v>
      </c>
      <c r="F53" s="18">
        <f>G53+H53+I53+J53+K53</f>
        <v>336636.42000000004</v>
      </c>
      <c r="G53" s="18">
        <f>4838+12484-11339.8+18516.65+574.9</f>
        <v>25073.750000000004</v>
      </c>
      <c r="H53" s="18">
        <f>82807+1155.74+3650.02</f>
        <v>87612.76000000001</v>
      </c>
      <c r="I53" s="47">
        <f>87613-12963.03</f>
        <v>74649.97</v>
      </c>
      <c r="J53" s="47">
        <f>87613-12963.03</f>
        <v>74649.97</v>
      </c>
      <c r="K53" s="47">
        <f>87613-12963.03</f>
        <v>74649.97</v>
      </c>
      <c r="L53" s="204"/>
      <c r="M53" s="205"/>
    </row>
    <row r="54" spans="1:13" ht="27.75" customHeight="1">
      <c r="A54" s="206"/>
      <c r="B54" s="148"/>
      <c r="C54" s="17" t="s">
        <v>44</v>
      </c>
      <c r="D54" s="17" t="s">
        <v>34</v>
      </c>
      <c r="E54" s="18">
        <v>0</v>
      </c>
      <c r="F54" s="18">
        <f>G54+H54+I54+J54+K54</f>
        <v>0</v>
      </c>
      <c r="G54" s="18">
        <v>0</v>
      </c>
      <c r="H54" s="18">
        <v>0</v>
      </c>
      <c r="I54" s="47">
        <v>0</v>
      </c>
      <c r="J54" s="72">
        <v>0</v>
      </c>
      <c r="K54" s="72">
        <v>0</v>
      </c>
      <c r="L54" s="204"/>
      <c r="M54" s="205"/>
    </row>
    <row r="55" spans="1:13" ht="38.25" customHeight="1">
      <c r="A55" s="157" t="s">
        <v>42</v>
      </c>
      <c r="B55" s="146" t="s">
        <v>43</v>
      </c>
      <c r="C55" s="17" t="s">
        <v>44</v>
      </c>
      <c r="D55" s="17" t="s">
        <v>7</v>
      </c>
      <c r="E55" s="18">
        <f>E59</f>
        <v>0</v>
      </c>
      <c r="F55" s="18">
        <f aca="true" t="shared" si="15" ref="F55:K55">F56+F57+F58</f>
        <v>22065</v>
      </c>
      <c r="G55" s="18">
        <f t="shared" si="15"/>
        <v>22065</v>
      </c>
      <c r="H55" s="18">
        <f t="shared" si="15"/>
        <v>0</v>
      </c>
      <c r="I55" s="47">
        <f t="shared" si="15"/>
        <v>0</v>
      </c>
      <c r="J55" s="47">
        <f t="shared" si="15"/>
        <v>0</v>
      </c>
      <c r="K55" s="47">
        <f t="shared" si="15"/>
        <v>0</v>
      </c>
      <c r="L55" s="146" t="s">
        <v>41</v>
      </c>
      <c r="M55" s="146" t="s">
        <v>100</v>
      </c>
    </row>
    <row r="56" spans="1:13" ht="33.75" customHeight="1">
      <c r="A56" s="98"/>
      <c r="B56" s="84"/>
      <c r="C56" s="17" t="s">
        <v>44</v>
      </c>
      <c r="D56" s="17" t="s">
        <v>9</v>
      </c>
      <c r="E56" s="18">
        <f>E60</f>
        <v>0</v>
      </c>
      <c r="F56" s="18">
        <f>G56+H56+I56+J56+K56</f>
        <v>0</v>
      </c>
      <c r="G56" s="18">
        <f>G60</f>
        <v>0</v>
      </c>
      <c r="H56" s="18">
        <f>H60</f>
        <v>0</v>
      </c>
      <c r="I56" s="47">
        <f>I60</f>
        <v>0</v>
      </c>
      <c r="J56" s="47">
        <f>J60</f>
        <v>0</v>
      </c>
      <c r="K56" s="47">
        <f>K60</f>
        <v>0</v>
      </c>
      <c r="L56" s="84"/>
      <c r="M56" s="123"/>
    </row>
    <row r="57" spans="1:13" ht="48.75" customHeight="1">
      <c r="A57" s="98"/>
      <c r="B57" s="84"/>
      <c r="C57" s="17" t="s">
        <v>44</v>
      </c>
      <c r="D57" s="17" t="s">
        <v>10</v>
      </c>
      <c r="E57" s="18">
        <f>E61</f>
        <v>0</v>
      </c>
      <c r="F57" s="18">
        <f>G57+H57+I57+J57+K57</f>
        <v>11032.5</v>
      </c>
      <c r="G57" s="18">
        <f aca="true" t="shared" si="16" ref="G57:K58">G61</f>
        <v>11032.5</v>
      </c>
      <c r="H57" s="18">
        <f t="shared" si="16"/>
        <v>0</v>
      </c>
      <c r="I57" s="47">
        <f t="shared" si="16"/>
        <v>0</v>
      </c>
      <c r="J57" s="47">
        <f t="shared" si="16"/>
        <v>0</v>
      </c>
      <c r="K57" s="47">
        <f t="shared" si="16"/>
        <v>0</v>
      </c>
      <c r="L57" s="84"/>
      <c r="M57" s="123"/>
    </row>
    <row r="58" spans="1:13" ht="62.25" customHeight="1">
      <c r="A58" s="99"/>
      <c r="B58" s="85"/>
      <c r="C58" s="17" t="s">
        <v>44</v>
      </c>
      <c r="D58" s="17" t="s">
        <v>11</v>
      </c>
      <c r="E58" s="18">
        <f>E62</f>
        <v>0</v>
      </c>
      <c r="F58" s="18">
        <f>G58+H58+I58+J58+K58</f>
        <v>11032.5</v>
      </c>
      <c r="G58" s="18">
        <f t="shared" si="16"/>
        <v>11032.5</v>
      </c>
      <c r="H58" s="18">
        <f t="shared" si="16"/>
        <v>0</v>
      </c>
      <c r="I58" s="47">
        <f t="shared" si="16"/>
        <v>0</v>
      </c>
      <c r="J58" s="47">
        <f t="shared" si="16"/>
        <v>0</v>
      </c>
      <c r="K58" s="47">
        <f t="shared" si="16"/>
        <v>0</v>
      </c>
      <c r="L58" s="85"/>
      <c r="M58" s="124"/>
    </row>
    <row r="59" spans="1:13" ht="30" customHeight="1">
      <c r="A59" s="157" t="s">
        <v>152</v>
      </c>
      <c r="B59" s="146" t="s">
        <v>153</v>
      </c>
      <c r="C59" s="17" t="s">
        <v>44</v>
      </c>
      <c r="D59" s="17" t="s">
        <v>7</v>
      </c>
      <c r="E59" s="18">
        <f>E60+E61+E62</f>
        <v>0</v>
      </c>
      <c r="F59" s="18">
        <f aca="true" t="shared" si="17" ref="F59:K59">F60+F61+F62</f>
        <v>22065</v>
      </c>
      <c r="G59" s="18">
        <f t="shared" si="17"/>
        <v>22065</v>
      </c>
      <c r="H59" s="18">
        <f t="shared" si="17"/>
        <v>0</v>
      </c>
      <c r="I59" s="47">
        <f t="shared" si="17"/>
        <v>0</v>
      </c>
      <c r="J59" s="47">
        <f t="shared" si="17"/>
        <v>0</v>
      </c>
      <c r="K59" s="47">
        <f t="shared" si="17"/>
        <v>0</v>
      </c>
      <c r="L59" s="146" t="s">
        <v>41</v>
      </c>
      <c r="M59" s="201"/>
    </row>
    <row r="60" spans="1:13" ht="38.25" customHeight="1">
      <c r="A60" s="98"/>
      <c r="B60" s="84"/>
      <c r="C60" s="17" t="s">
        <v>44</v>
      </c>
      <c r="D60" s="17" t="s">
        <v>9</v>
      </c>
      <c r="E60" s="18">
        <v>0</v>
      </c>
      <c r="F60" s="18">
        <f>G60+H60+I60+J60+K60</f>
        <v>0</v>
      </c>
      <c r="G60" s="18">
        <v>0</v>
      </c>
      <c r="H60" s="18">
        <v>0</v>
      </c>
      <c r="I60" s="47">
        <v>0</v>
      </c>
      <c r="J60" s="47">
        <v>0</v>
      </c>
      <c r="K60" s="47">
        <v>0</v>
      </c>
      <c r="L60" s="84"/>
      <c r="M60" s="84"/>
    </row>
    <row r="61" spans="1:13" ht="49.5" customHeight="1">
      <c r="A61" s="98"/>
      <c r="B61" s="84"/>
      <c r="C61" s="17" t="s">
        <v>44</v>
      </c>
      <c r="D61" s="17" t="s">
        <v>10</v>
      </c>
      <c r="E61" s="18">
        <v>0</v>
      </c>
      <c r="F61" s="18">
        <f>G61+H61+I61+J61+K61</f>
        <v>11032.5</v>
      </c>
      <c r="G61" s="18">
        <v>11032.5</v>
      </c>
      <c r="H61" s="18">
        <v>0</v>
      </c>
      <c r="I61" s="47">
        <v>0</v>
      </c>
      <c r="J61" s="47">
        <v>0</v>
      </c>
      <c r="K61" s="47">
        <v>0</v>
      </c>
      <c r="L61" s="84"/>
      <c r="M61" s="84"/>
    </row>
    <row r="62" spans="1:13" ht="60.75" customHeight="1">
      <c r="A62" s="99"/>
      <c r="B62" s="85"/>
      <c r="C62" s="17" t="s">
        <v>44</v>
      </c>
      <c r="D62" s="17" t="s">
        <v>11</v>
      </c>
      <c r="E62" s="18">
        <v>0</v>
      </c>
      <c r="F62" s="18">
        <f>G62+H62+I62+J62+K62</f>
        <v>11032.5</v>
      </c>
      <c r="G62" s="18">
        <v>11032.5</v>
      </c>
      <c r="H62" s="18">
        <v>0</v>
      </c>
      <c r="I62" s="47">
        <v>0</v>
      </c>
      <c r="J62" s="47">
        <v>0</v>
      </c>
      <c r="K62" s="47">
        <v>0</v>
      </c>
      <c r="L62" s="85"/>
      <c r="M62" s="85"/>
    </row>
    <row r="63" spans="1:13" ht="18.75" customHeight="1">
      <c r="A63" s="90" t="s">
        <v>103</v>
      </c>
      <c r="B63" s="79" t="s">
        <v>64</v>
      </c>
      <c r="C63" s="17" t="s">
        <v>44</v>
      </c>
      <c r="D63" s="17" t="s">
        <v>7</v>
      </c>
      <c r="E63" s="18">
        <f>E64+E65+E66+E67</f>
        <v>0</v>
      </c>
      <c r="F63" s="18">
        <f aca="true" t="shared" si="18" ref="F63:K63">F64+F65+F66+F67</f>
        <v>0</v>
      </c>
      <c r="G63" s="18">
        <f t="shared" si="18"/>
        <v>0</v>
      </c>
      <c r="H63" s="18">
        <f t="shared" si="18"/>
        <v>0</v>
      </c>
      <c r="I63" s="47">
        <f t="shared" si="18"/>
        <v>0</v>
      </c>
      <c r="J63" s="47">
        <f t="shared" si="18"/>
        <v>0</v>
      </c>
      <c r="K63" s="47">
        <f t="shared" si="18"/>
        <v>0</v>
      </c>
      <c r="L63" s="79" t="s">
        <v>81</v>
      </c>
      <c r="M63" s="86" t="s">
        <v>195</v>
      </c>
    </row>
    <row r="64" spans="1:13" ht="42.75" customHeight="1">
      <c r="A64" s="116"/>
      <c r="B64" s="80"/>
      <c r="C64" s="17" t="s">
        <v>44</v>
      </c>
      <c r="D64" s="17" t="s">
        <v>9</v>
      </c>
      <c r="E64" s="18">
        <f>E69+E74</f>
        <v>0</v>
      </c>
      <c r="F64" s="18">
        <f>G64+H64+I64+J64+K64</f>
        <v>0</v>
      </c>
      <c r="G64" s="18">
        <f>G69+G74</f>
        <v>0</v>
      </c>
      <c r="H64" s="18">
        <f>H69+H74</f>
        <v>0</v>
      </c>
      <c r="I64" s="47">
        <f>I69+I74</f>
        <v>0</v>
      </c>
      <c r="J64" s="47">
        <f>J69+J74</f>
        <v>0</v>
      </c>
      <c r="K64" s="47">
        <f>K69+K74</f>
        <v>0</v>
      </c>
      <c r="L64" s="80"/>
      <c r="M64" s="123"/>
    </row>
    <row r="65" spans="1:13" ht="51" customHeight="1">
      <c r="A65" s="116"/>
      <c r="B65" s="80"/>
      <c r="C65" s="17" t="s">
        <v>44</v>
      </c>
      <c r="D65" s="17" t="s">
        <v>10</v>
      </c>
      <c r="E65" s="18">
        <f>E70</f>
        <v>0</v>
      </c>
      <c r="F65" s="18">
        <f>G65+H65+I65+J65+K65</f>
        <v>0</v>
      </c>
      <c r="G65" s="18">
        <f aca="true" t="shared" si="19" ref="G65:K67">G70+G75</f>
        <v>0</v>
      </c>
      <c r="H65" s="18">
        <f t="shared" si="19"/>
        <v>0</v>
      </c>
      <c r="I65" s="47">
        <f t="shared" si="19"/>
        <v>0</v>
      </c>
      <c r="J65" s="47">
        <f t="shared" si="19"/>
        <v>0</v>
      </c>
      <c r="K65" s="47">
        <f t="shared" si="19"/>
        <v>0</v>
      </c>
      <c r="L65" s="80"/>
      <c r="M65" s="123"/>
    </row>
    <row r="66" spans="1:13" ht="66.75" customHeight="1">
      <c r="A66" s="116"/>
      <c r="B66" s="80"/>
      <c r="C66" s="17" t="s">
        <v>44</v>
      </c>
      <c r="D66" s="17" t="s">
        <v>11</v>
      </c>
      <c r="E66" s="18">
        <f>E71</f>
        <v>0</v>
      </c>
      <c r="F66" s="18">
        <f>G66+H66+I66+J66+K66</f>
        <v>0</v>
      </c>
      <c r="G66" s="18">
        <f t="shared" si="19"/>
        <v>0</v>
      </c>
      <c r="H66" s="18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80"/>
      <c r="M66" s="123"/>
    </row>
    <row r="67" spans="1:13" ht="69.75" customHeight="1">
      <c r="A67" s="117"/>
      <c r="B67" s="81"/>
      <c r="C67" s="17" t="s">
        <v>44</v>
      </c>
      <c r="D67" s="17" t="s">
        <v>34</v>
      </c>
      <c r="E67" s="18">
        <f>E72</f>
        <v>0</v>
      </c>
      <c r="F67" s="18">
        <f>G67+H67+I67+J67+K67</f>
        <v>0</v>
      </c>
      <c r="G67" s="18">
        <f t="shared" si="19"/>
        <v>0</v>
      </c>
      <c r="H67" s="18">
        <f t="shared" si="19"/>
        <v>0</v>
      </c>
      <c r="I67" s="47">
        <f t="shared" si="19"/>
        <v>0</v>
      </c>
      <c r="J67" s="47">
        <f t="shared" si="19"/>
        <v>0</v>
      </c>
      <c r="K67" s="47">
        <f t="shared" si="19"/>
        <v>0</v>
      </c>
      <c r="L67" s="81"/>
      <c r="M67" s="124"/>
    </row>
    <row r="68" spans="1:13" ht="26.25" customHeight="1" hidden="1">
      <c r="A68" s="94" t="s">
        <v>104</v>
      </c>
      <c r="B68" s="79" t="s">
        <v>113</v>
      </c>
      <c r="C68" s="17" t="s">
        <v>44</v>
      </c>
      <c r="D68" s="17" t="s">
        <v>7</v>
      </c>
      <c r="E68" s="18">
        <f>E69+E70+E71+E72</f>
        <v>0</v>
      </c>
      <c r="F68" s="18">
        <f aca="true" t="shared" si="20" ref="F68:K68">F69+F70+F71+F72</f>
        <v>0</v>
      </c>
      <c r="G68" s="18">
        <f t="shared" si="20"/>
        <v>0</v>
      </c>
      <c r="H68" s="18">
        <f t="shared" si="20"/>
        <v>0</v>
      </c>
      <c r="I68" s="47">
        <f t="shared" si="20"/>
        <v>0</v>
      </c>
      <c r="J68" s="47">
        <f t="shared" si="20"/>
        <v>0</v>
      </c>
      <c r="K68" s="47">
        <f t="shared" si="20"/>
        <v>0</v>
      </c>
      <c r="L68" s="89"/>
      <c r="M68" s="89"/>
    </row>
    <row r="69" spans="1:13" ht="37.5" customHeight="1" hidden="1">
      <c r="A69" s="116"/>
      <c r="B69" s="80"/>
      <c r="C69" s="17" t="s">
        <v>44</v>
      </c>
      <c r="D69" s="17" t="s">
        <v>9</v>
      </c>
      <c r="E69" s="18">
        <v>0</v>
      </c>
      <c r="F69" s="18">
        <f aca="true" t="shared" si="21" ref="F69:F82">G69+H69+I69+J69+K69</f>
        <v>0</v>
      </c>
      <c r="G69" s="18">
        <v>0</v>
      </c>
      <c r="H69" s="18">
        <v>0</v>
      </c>
      <c r="I69" s="47">
        <v>0</v>
      </c>
      <c r="J69" s="47">
        <v>0</v>
      </c>
      <c r="K69" s="47">
        <v>0</v>
      </c>
      <c r="L69" s="84"/>
      <c r="M69" s="84"/>
    </row>
    <row r="70" spans="1:13" ht="51" customHeight="1" hidden="1">
      <c r="A70" s="116"/>
      <c r="B70" s="80"/>
      <c r="C70" s="17" t="s">
        <v>44</v>
      </c>
      <c r="D70" s="17" t="s">
        <v>10</v>
      </c>
      <c r="E70" s="18">
        <v>0</v>
      </c>
      <c r="F70" s="18">
        <f t="shared" si="21"/>
        <v>0</v>
      </c>
      <c r="G70" s="18">
        <v>0</v>
      </c>
      <c r="H70" s="18">
        <v>0</v>
      </c>
      <c r="I70" s="47">
        <v>0</v>
      </c>
      <c r="J70" s="47">
        <v>0</v>
      </c>
      <c r="K70" s="47">
        <v>0</v>
      </c>
      <c r="L70" s="84"/>
      <c r="M70" s="84"/>
    </row>
    <row r="71" spans="1:13" ht="61.5" customHeight="1" hidden="1">
      <c r="A71" s="116"/>
      <c r="B71" s="80"/>
      <c r="C71" s="17" t="s">
        <v>44</v>
      </c>
      <c r="D71" s="17" t="s">
        <v>11</v>
      </c>
      <c r="E71" s="18">
        <v>0</v>
      </c>
      <c r="F71" s="18">
        <f t="shared" si="21"/>
        <v>0</v>
      </c>
      <c r="G71" s="18">
        <v>0</v>
      </c>
      <c r="H71" s="18">
        <v>0</v>
      </c>
      <c r="I71" s="47">
        <v>0</v>
      </c>
      <c r="J71" s="47">
        <v>0</v>
      </c>
      <c r="K71" s="47">
        <v>0</v>
      </c>
      <c r="L71" s="84"/>
      <c r="M71" s="84"/>
    </row>
    <row r="72" spans="1:13" ht="29.25" customHeight="1" hidden="1">
      <c r="A72" s="117"/>
      <c r="B72" s="81"/>
      <c r="C72" s="17" t="s">
        <v>44</v>
      </c>
      <c r="D72" s="17" t="s">
        <v>34</v>
      </c>
      <c r="E72" s="18">
        <v>0</v>
      </c>
      <c r="F72" s="18">
        <f t="shared" si="21"/>
        <v>0</v>
      </c>
      <c r="G72" s="18">
        <v>0</v>
      </c>
      <c r="H72" s="18">
        <v>0</v>
      </c>
      <c r="I72" s="47">
        <v>0</v>
      </c>
      <c r="J72" s="47">
        <v>0</v>
      </c>
      <c r="K72" s="47">
        <v>0</v>
      </c>
      <c r="L72" s="85"/>
      <c r="M72" s="85"/>
    </row>
    <row r="73" spans="1:13" ht="24.75" customHeight="1">
      <c r="A73" s="94" t="s">
        <v>105</v>
      </c>
      <c r="B73" s="79" t="s">
        <v>142</v>
      </c>
      <c r="C73" s="17" t="s">
        <v>44</v>
      </c>
      <c r="D73" s="17" t="s">
        <v>7</v>
      </c>
      <c r="E73" s="18">
        <f>E74+E75+E76+E77</f>
        <v>0</v>
      </c>
      <c r="F73" s="18">
        <f aca="true" t="shared" si="22" ref="F73:K73">F74+F75+F76+F77</f>
        <v>0</v>
      </c>
      <c r="G73" s="18">
        <f t="shared" si="22"/>
        <v>0</v>
      </c>
      <c r="H73" s="18">
        <f t="shared" si="22"/>
        <v>0</v>
      </c>
      <c r="I73" s="47">
        <f t="shared" si="22"/>
        <v>0</v>
      </c>
      <c r="J73" s="47">
        <f t="shared" si="22"/>
        <v>0</v>
      </c>
      <c r="K73" s="47">
        <f t="shared" si="22"/>
        <v>0</v>
      </c>
      <c r="L73" s="79" t="s">
        <v>81</v>
      </c>
      <c r="M73" s="89"/>
    </row>
    <row r="74" spans="1:13" ht="38.25" customHeight="1">
      <c r="A74" s="98"/>
      <c r="B74" s="84"/>
      <c r="C74" s="17" t="s">
        <v>44</v>
      </c>
      <c r="D74" s="17" t="s">
        <v>9</v>
      </c>
      <c r="E74" s="18">
        <v>0</v>
      </c>
      <c r="F74" s="18">
        <f>G74+H74+I74+J74+K74</f>
        <v>0</v>
      </c>
      <c r="G74" s="18">
        <v>0</v>
      </c>
      <c r="H74" s="18">
        <v>0</v>
      </c>
      <c r="I74" s="47">
        <v>0</v>
      </c>
      <c r="J74" s="47">
        <v>0</v>
      </c>
      <c r="K74" s="47">
        <v>0</v>
      </c>
      <c r="L74" s="80"/>
      <c r="M74" s="84"/>
    </row>
    <row r="75" spans="1:13" ht="48.75" customHeight="1">
      <c r="A75" s="98"/>
      <c r="B75" s="84"/>
      <c r="C75" s="17" t="s">
        <v>44</v>
      </c>
      <c r="D75" s="17" t="s">
        <v>10</v>
      </c>
      <c r="E75" s="18">
        <v>0</v>
      </c>
      <c r="F75" s="18">
        <f>G75+H75+I75+J75+K75</f>
        <v>0</v>
      </c>
      <c r="G75" s="18">
        <v>0</v>
      </c>
      <c r="H75" s="18">
        <v>0</v>
      </c>
      <c r="I75" s="47">
        <v>0</v>
      </c>
      <c r="J75" s="47">
        <v>0</v>
      </c>
      <c r="K75" s="47">
        <v>0</v>
      </c>
      <c r="L75" s="80"/>
      <c r="M75" s="84"/>
    </row>
    <row r="76" spans="1:13" ht="58.5" customHeight="1">
      <c r="A76" s="98"/>
      <c r="B76" s="84"/>
      <c r="C76" s="17" t="s">
        <v>44</v>
      </c>
      <c r="D76" s="17" t="s">
        <v>11</v>
      </c>
      <c r="E76" s="18">
        <v>0</v>
      </c>
      <c r="F76" s="18">
        <f>G76+H76+I76+J76+K76</f>
        <v>0</v>
      </c>
      <c r="G76" s="18">
        <v>0</v>
      </c>
      <c r="H76" s="18">
        <v>0</v>
      </c>
      <c r="I76" s="47">
        <v>0</v>
      </c>
      <c r="J76" s="47">
        <v>0</v>
      </c>
      <c r="K76" s="47">
        <v>0</v>
      </c>
      <c r="L76" s="80"/>
      <c r="M76" s="84"/>
    </row>
    <row r="77" spans="1:13" ht="23.25" customHeight="1">
      <c r="A77" s="99"/>
      <c r="B77" s="85"/>
      <c r="C77" s="17" t="s">
        <v>44</v>
      </c>
      <c r="D77" s="17" t="s">
        <v>34</v>
      </c>
      <c r="E77" s="18">
        <v>0</v>
      </c>
      <c r="F77" s="18">
        <f>G77+H77+I77+J77+K77</f>
        <v>0</v>
      </c>
      <c r="G77" s="18">
        <v>0</v>
      </c>
      <c r="H77" s="18">
        <v>0</v>
      </c>
      <c r="I77" s="47">
        <v>0</v>
      </c>
      <c r="J77" s="47">
        <v>0</v>
      </c>
      <c r="K77" s="47">
        <v>0</v>
      </c>
      <c r="L77" s="81"/>
      <c r="M77" s="85"/>
    </row>
    <row r="78" spans="1:13" ht="20.25" customHeight="1">
      <c r="A78" s="202"/>
      <c r="B78" s="203" t="s">
        <v>0</v>
      </c>
      <c r="C78" s="17" t="s">
        <v>44</v>
      </c>
      <c r="D78" s="17" t="s">
        <v>7</v>
      </c>
      <c r="E78" s="18">
        <f>E79+E80+E81+E82</f>
        <v>322171.5</v>
      </c>
      <c r="F78" s="18">
        <f t="shared" si="21"/>
        <v>820383.1599999999</v>
      </c>
      <c r="G78" s="18">
        <f>G79+G80+G81+G82</f>
        <v>340935.2199999999</v>
      </c>
      <c r="H78" s="18">
        <f>H79+H80+H81+H82</f>
        <v>114554.84000000003</v>
      </c>
      <c r="I78" s="47">
        <f>I79+I80+I81+I82</f>
        <v>121385.1</v>
      </c>
      <c r="J78" s="47">
        <f>J79+J80+J81+J82</f>
        <v>121749</v>
      </c>
      <c r="K78" s="47">
        <f>K79+K80+K81+K82</f>
        <v>121759</v>
      </c>
      <c r="L78" s="204"/>
      <c r="M78" s="82"/>
    </row>
    <row r="79" spans="1:13" ht="36">
      <c r="A79" s="202"/>
      <c r="B79" s="203"/>
      <c r="C79" s="17" t="s">
        <v>44</v>
      </c>
      <c r="D79" s="17" t="s">
        <v>9</v>
      </c>
      <c r="E79" s="18">
        <f>E6+E46+E56+E64</f>
        <v>0</v>
      </c>
      <c r="F79" s="18">
        <f t="shared" si="21"/>
        <v>0</v>
      </c>
      <c r="G79" s="18">
        <f aca="true" t="shared" si="23" ref="G79:K81">G6+G46+G56+G64+G36+G21</f>
        <v>0</v>
      </c>
      <c r="H79" s="18">
        <f t="shared" si="23"/>
        <v>0</v>
      </c>
      <c r="I79" s="18">
        <f t="shared" si="23"/>
        <v>0</v>
      </c>
      <c r="J79" s="18">
        <f t="shared" si="23"/>
        <v>0</v>
      </c>
      <c r="K79" s="18">
        <f t="shared" si="23"/>
        <v>0</v>
      </c>
      <c r="L79" s="204"/>
      <c r="M79" s="82"/>
    </row>
    <row r="80" spans="1:13" ht="48">
      <c r="A80" s="202"/>
      <c r="B80" s="203"/>
      <c r="C80" s="17" t="s">
        <v>44</v>
      </c>
      <c r="D80" s="17" t="s">
        <v>10</v>
      </c>
      <c r="E80" s="18">
        <f>E7+E47+E57+E65</f>
        <v>0</v>
      </c>
      <c r="F80" s="18">
        <f t="shared" si="21"/>
        <v>16657.5</v>
      </c>
      <c r="G80" s="18">
        <f t="shared" si="23"/>
        <v>11032.5</v>
      </c>
      <c r="H80" s="18">
        <f t="shared" si="23"/>
        <v>0</v>
      </c>
      <c r="I80" s="18">
        <f t="shared" si="23"/>
        <v>5625</v>
      </c>
      <c r="J80" s="18">
        <f t="shared" si="23"/>
        <v>0</v>
      </c>
      <c r="K80" s="18">
        <f t="shared" si="23"/>
        <v>0</v>
      </c>
      <c r="L80" s="204"/>
      <c r="M80" s="82"/>
    </row>
    <row r="81" spans="1:13" ht="60">
      <c r="A81" s="202"/>
      <c r="B81" s="203"/>
      <c r="C81" s="17" t="s">
        <v>44</v>
      </c>
      <c r="D81" s="17" t="s">
        <v>11</v>
      </c>
      <c r="E81" s="18">
        <f>E8+E48+E58+E66</f>
        <v>321968.5</v>
      </c>
      <c r="F81" s="18">
        <f t="shared" si="21"/>
        <v>801987.6599999999</v>
      </c>
      <c r="G81" s="18">
        <f t="shared" si="23"/>
        <v>329794.7199999999</v>
      </c>
      <c r="H81" s="18">
        <f t="shared" si="23"/>
        <v>114454.84000000003</v>
      </c>
      <c r="I81" s="18">
        <f t="shared" si="23"/>
        <v>115260.1</v>
      </c>
      <c r="J81" s="18">
        <f t="shared" si="23"/>
        <v>121239</v>
      </c>
      <c r="K81" s="18">
        <f t="shared" si="23"/>
        <v>121239</v>
      </c>
      <c r="L81" s="204"/>
      <c r="M81" s="82"/>
    </row>
    <row r="82" spans="1:13" ht="24">
      <c r="A82" s="202"/>
      <c r="B82" s="203"/>
      <c r="C82" s="17" t="s">
        <v>44</v>
      </c>
      <c r="D82" s="17" t="s">
        <v>34</v>
      </c>
      <c r="E82" s="18">
        <f>E9+E49+E59+E67</f>
        <v>203</v>
      </c>
      <c r="F82" s="18">
        <f t="shared" si="21"/>
        <v>1738</v>
      </c>
      <c r="G82" s="18">
        <f>G9+G49+G67+G39+G24</f>
        <v>108</v>
      </c>
      <c r="H82" s="18">
        <f>H9+H49+H59+H67+H39+H24</f>
        <v>100</v>
      </c>
      <c r="I82" s="18">
        <f>I9+I49+I59+I67+I39+I24</f>
        <v>500</v>
      </c>
      <c r="J82" s="18">
        <f>J9+J49+J59+J67+J39+J24</f>
        <v>510</v>
      </c>
      <c r="K82" s="18">
        <f>K9+K49+K59+K67+K39+K24</f>
        <v>520</v>
      </c>
      <c r="L82" s="204"/>
      <c r="M82" s="82"/>
    </row>
    <row r="83" spans="1:12" ht="15">
      <c r="A83" s="24"/>
      <c r="B83" s="24"/>
      <c r="C83" s="25"/>
      <c r="D83" s="25"/>
      <c r="E83" s="25"/>
      <c r="F83" s="25"/>
      <c r="G83" s="25"/>
      <c r="H83" s="25"/>
      <c r="I83" s="60"/>
      <c r="J83" s="60"/>
      <c r="K83" s="60"/>
      <c r="L83" s="25"/>
    </row>
    <row r="84" spans="1:12" ht="15">
      <c r="A84" s="25"/>
      <c r="B84" s="25"/>
      <c r="C84" s="25"/>
      <c r="D84" s="25"/>
      <c r="E84" s="25"/>
      <c r="F84" s="25"/>
      <c r="G84" s="25"/>
      <c r="H84" s="25"/>
      <c r="I84" s="60"/>
      <c r="J84" s="60"/>
      <c r="K84" s="60"/>
      <c r="L84" s="25"/>
    </row>
    <row r="85" spans="1:12" ht="15">
      <c r="A85" s="25"/>
      <c r="B85" s="25"/>
      <c r="C85" s="25"/>
      <c r="D85" s="25"/>
      <c r="E85" s="25"/>
      <c r="F85" s="25"/>
      <c r="G85" s="25"/>
      <c r="H85" s="25"/>
      <c r="I85" s="60"/>
      <c r="J85" s="60"/>
      <c r="K85" s="60"/>
      <c r="L85" s="25"/>
    </row>
    <row r="86" spans="1:12" ht="15">
      <c r="A86" s="25"/>
      <c r="B86" s="25"/>
      <c r="C86" s="25"/>
      <c r="D86" s="25"/>
      <c r="E86" s="25"/>
      <c r="F86" s="25"/>
      <c r="G86" s="25"/>
      <c r="H86" s="25"/>
      <c r="I86" s="60"/>
      <c r="J86" s="60"/>
      <c r="K86" s="60"/>
      <c r="L86" s="25"/>
    </row>
    <row r="87" spans="1:12" ht="15">
      <c r="A87" s="25"/>
      <c r="B87" s="25"/>
      <c r="C87" s="25"/>
      <c r="D87" s="25"/>
      <c r="E87" s="25"/>
      <c r="F87" s="25"/>
      <c r="G87" s="25"/>
      <c r="H87" s="25"/>
      <c r="I87" s="60"/>
      <c r="J87" s="60"/>
      <c r="K87" s="60"/>
      <c r="L87" s="25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60"/>
      <c r="J88" s="60"/>
      <c r="K88" s="60"/>
      <c r="L88" s="25"/>
    </row>
  </sheetData>
  <sheetProtection/>
  <mergeCells count="75">
    <mergeCell ref="M25:M29"/>
    <mergeCell ref="B45:B49"/>
    <mergeCell ref="A45:A49"/>
    <mergeCell ref="B30:B34"/>
    <mergeCell ref="M55:M58"/>
    <mergeCell ref="M40:M44"/>
    <mergeCell ref="A40:A44"/>
    <mergeCell ref="B40:B44"/>
    <mergeCell ref="B51:B54"/>
    <mergeCell ref="L45:L49"/>
    <mergeCell ref="B15:B19"/>
    <mergeCell ref="A30:A34"/>
    <mergeCell ref="M15:M19"/>
    <mergeCell ref="L15:L19"/>
    <mergeCell ref="A20:A24"/>
    <mergeCell ref="M20:M24"/>
    <mergeCell ref="L30:L34"/>
    <mergeCell ref="A25:A29"/>
    <mergeCell ref="B25:B29"/>
    <mergeCell ref="L25:L29"/>
    <mergeCell ref="Q8:Q9"/>
    <mergeCell ref="M5:M9"/>
    <mergeCell ref="M10:M14"/>
    <mergeCell ref="A1:A2"/>
    <mergeCell ref="M45:M49"/>
    <mergeCell ref="B35:B39"/>
    <mergeCell ref="M30:M34"/>
    <mergeCell ref="A10:A14"/>
    <mergeCell ref="L10:L14"/>
    <mergeCell ref="A15:A19"/>
    <mergeCell ref="B10:B14"/>
    <mergeCell ref="B20:B24"/>
    <mergeCell ref="L40:L44"/>
    <mergeCell ref="G1:K1"/>
    <mergeCell ref="L5:L9"/>
    <mergeCell ref="E1:E2"/>
    <mergeCell ref="F1:F2"/>
    <mergeCell ref="D1:D2"/>
    <mergeCell ref="L20:L24"/>
    <mergeCell ref="L1:L2"/>
    <mergeCell ref="A4:M4"/>
    <mergeCell ref="M1:M2"/>
    <mergeCell ref="B1:B2"/>
    <mergeCell ref="A5:A9"/>
    <mergeCell ref="C1:C2"/>
    <mergeCell ref="B5:B9"/>
    <mergeCell ref="L50:L54"/>
    <mergeCell ref="A68:A72"/>
    <mergeCell ref="M50:M54"/>
    <mergeCell ref="A55:A58"/>
    <mergeCell ref="A35:A39"/>
    <mergeCell ref="L35:L39"/>
    <mergeCell ref="M35:M39"/>
    <mergeCell ref="A50:A54"/>
    <mergeCell ref="B55:B58"/>
    <mergeCell ref="L55:L58"/>
    <mergeCell ref="A73:A77"/>
    <mergeCell ref="B73:B77"/>
    <mergeCell ref="M59:M62"/>
    <mergeCell ref="A78:A82"/>
    <mergeCell ref="B78:B82"/>
    <mergeCell ref="M78:M82"/>
    <mergeCell ref="L78:L82"/>
    <mergeCell ref="A63:A67"/>
    <mergeCell ref="A59:A62"/>
    <mergeCell ref="M68:M72"/>
    <mergeCell ref="L59:L62"/>
    <mergeCell ref="M63:M67"/>
    <mergeCell ref="B63:B67"/>
    <mergeCell ref="L63:L67"/>
    <mergeCell ref="M73:M77"/>
    <mergeCell ref="L73:L77"/>
    <mergeCell ref="L68:L72"/>
    <mergeCell ref="B68:B72"/>
    <mergeCell ref="B59:B6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A1" sqref="A1:A2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202" t="s">
        <v>2</v>
      </c>
      <c r="B1" s="202" t="s">
        <v>36</v>
      </c>
      <c r="C1" s="202" t="s">
        <v>39</v>
      </c>
      <c r="D1" s="202" t="s">
        <v>3</v>
      </c>
      <c r="E1" s="111" t="s">
        <v>38</v>
      </c>
      <c r="F1" s="202" t="s">
        <v>4</v>
      </c>
      <c r="G1" s="202" t="s">
        <v>5</v>
      </c>
      <c r="H1" s="202"/>
      <c r="I1" s="202"/>
      <c r="J1" s="202"/>
      <c r="K1" s="202"/>
      <c r="L1" s="202" t="s">
        <v>6</v>
      </c>
      <c r="M1" s="202" t="s">
        <v>13</v>
      </c>
    </row>
    <row r="2" spans="1:13" ht="84" customHeight="1">
      <c r="A2" s="202"/>
      <c r="B2" s="202"/>
      <c r="C2" s="202"/>
      <c r="D2" s="202"/>
      <c r="E2" s="111"/>
      <c r="F2" s="202"/>
      <c r="G2" s="1" t="s">
        <v>77</v>
      </c>
      <c r="H2" s="1" t="s">
        <v>78</v>
      </c>
      <c r="I2" s="7" t="s">
        <v>74</v>
      </c>
      <c r="J2" s="1" t="s">
        <v>79</v>
      </c>
      <c r="K2" s="1" t="s">
        <v>80</v>
      </c>
      <c r="L2" s="202"/>
      <c r="M2" s="202"/>
    </row>
    <row r="3" spans="1:13" ht="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</row>
    <row r="4" spans="1:13" ht="18" customHeight="1">
      <c r="A4" s="218" t="s">
        <v>60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s="12" customFormat="1" ht="18.75" customHeight="1">
      <c r="A5" s="212" t="s">
        <v>29</v>
      </c>
      <c r="B5" s="215" t="s">
        <v>61</v>
      </c>
      <c r="C5" s="17" t="s">
        <v>44</v>
      </c>
      <c r="D5" s="17" t="s">
        <v>7</v>
      </c>
      <c r="E5" s="29">
        <f aca="true" t="shared" si="0" ref="E5:K5">E6+E7+E8+E9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04" t="s">
        <v>8</v>
      </c>
      <c r="M5" s="215" t="s">
        <v>65</v>
      </c>
    </row>
    <row r="6" spans="1:13" s="12" customFormat="1" ht="36">
      <c r="A6" s="213"/>
      <c r="B6" s="216"/>
      <c r="C6" s="17" t="s">
        <v>44</v>
      </c>
      <c r="D6" s="17" t="s">
        <v>9</v>
      </c>
      <c r="E6" s="29">
        <v>0</v>
      </c>
      <c r="F6" s="18">
        <f aca="true" t="shared" si="1" ref="F6:F14">G6+H6+I6+J6+K6</f>
        <v>0</v>
      </c>
      <c r="G6" s="29">
        <f>G11</f>
        <v>0</v>
      </c>
      <c r="H6" s="29">
        <f>H11</f>
        <v>0</v>
      </c>
      <c r="I6" s="29">
        <f>I11</f>
        <v>0</v>
      </c>
      <c r="J6" s="29">
        <f>J11</f>
        <v>0</v>
      </c>
      <c r="K6" s="29">
        <f>K11</f>
        <v>0</v>
      </c>
      <c r="L6" s="204"/>
      <c r="M6" s="216"/>
    </row>
    <row r="7" spans="1:13" s="12" customFormat="1" ht="48">
      <c r="A7" s="213"/>
      <c r="B7" s="216"/>
      <c r="C7" s="17" t="s">
        <v>44</v>
      </c>
      <c r="D7" s="17" t="s">
        <v>10</v>
      </c>
      <c r="E7" s="29">
        <f aca="true" t="shared" si="2" ref="E7:K7">E12</f>
        <v>0</v>
      </c>
      <c r="F7" s="18">
        <f t="shared" si="1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04"/>
      <c r="M7" s="216"/>
    </row>
    <row r="8" spans="1:13" s="12" customFormat="1" ht="60">
      <c r="A8" s="213"/>
      <c r="B8" s="216"/>
      <c r="C8" s="17" t="s">
        <v>44</v>
      </c>
      <c r="D8" s="17" t="s">
        <v>11</v>
      </c>
      <c r="E8" s="29">
        <f aca="true" t="shared" si="3" ref="E8:K8">E13</f>
        <v>0</v>
      </c>
      <c r="F8" s="18">
        <f t="shared" si="1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04"/>
      <c r="M8" s="216"/>
    </row>
    <row r="9" spans="1:13" ht="24">
      <c r="A9" s="214"/>
      <c r="B9" s="217"/>
      <c r="C9" s="17" t="s">
        <v>44</v>
      </c>
      <c r="D9" s="17" t="s">
        <v>34</v>
      </c>
      <c r="E9" s="29">
        <f aca="true" t="shared" si="4" ref="E9:K9">E14</f>
        <v>0</v>
      </c>
      <c r="F9" s="18">
        <f t="shared" si="1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04"/>
      <c r="M9" s="217"/>
    </row>
    <row r="10" spans="1:13" ht="18" customHeight="1">
      <c r="A10" s="206" t="s">
        <v>54</v>
      </c>
      <c r="B10" s="19" t="s">
        <v>143</v>
      </c>
      <c r="C10" s="17" t="s">
        <v>44</v>
      </c>
      <c r="D10" s="17" t="s">
        <v>7</v>
      </c>
      <c r="E10" s="18">
        <f aca="true" t="shared" si="5" ref="E10:K10">E11+E12+E13+E14</f>
        <v>0</v>
      </c>
      <c r="F10" s="18">
        <f t="shared" si="5"/>
        <v>0</v>
      </c>
      <c r="G10" s="18">
        <f t="shared" si="5"/>
        <v>0</v>
      </c>
      <c r="H10" s="18">
        <f t="shared" si="5"/>
        <v>0</v>
      </c>
      <c r="I10" s="18">
        <f t="shared" si="5"/>
        <v>0</v>
      </c>
      <c r="J10" s="18">
        <f t="shared" si="5"/>
        <v>0</v>
      </c>
      <c r="K10" s="18">
        <f t="shared" si="5"/>
        <v>0</v>
      </c>
      <c r="L10" s="204" t="s">
        <v>8</v>
      </c>
      <c r="M10" s="146"/>
    </row>
    <row r="11" spans="1:13" ht="39.75" customHeight="1">
      <c r="A11" s="206"/>
      <c r="B11" s="219" t="s">
        <v>62</v>
      </c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204"/>
      <c r="M11" s="147"/>
    </row>
    <row r="12" spans="1:13" ht="50.25" customHeight="1">
      <c r="A12" s="206"/>
      <c r="B12" s="219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204"/>
      <c r="M12" s="147"/>
    </row>
    <row r="13" spans="1:13" ht="62.25" customHeight="1">
      <c r="A13" s="206"/>
      <c r="B13" s="219"/>
      <c r="C13" s="17" t="s">
        <v>44</v>
      </c>
      <c r="D13" s="17" t="s">
        <v>11</v>
      </c>
      <c r="E13" s="18">
        <v>0</v>
      </c>
      <c r="F13" s="18">
        <f t="shared" si="1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204"/>
      <c r="M13" s="147"/>
    </row>
    <row r="14" spans="1:13" ht="25.5" customHeight="1">
      <c r="A14" s="206"/>
      <c r="B14" s="220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04"/>
      <c r="M14" s="148"/>
    </row>
    <row r="15" spans="1:13" ht="21.75" customHeight="1">
      <c r="A15" s="202"/>
      <c r="B15" s="203" t="s">
        <v>63</v>
      </c>
      <c r="C15" s="17" t="s">
        <v>44</v>
      </c>
      <c r="D15" s="17" t="s">
        <v>7</v>
      </c>
      <c r="E15" s="18">
        <f>E16+E17+E18+E19</f>
        <v>0</v>
      </c>
      <c r="F15" s="18">
        <f>G15+H15+I15+J15+K15</f>
        <v>0</v>
      </c>
      <c r="G15" s="18">
        <f>G16+G17+G18+G19</f>
        <v>0</v>
      </c>
      <c r="H15" s="18">
        <f>H16+H17+H18+H19</f>
        <v>0</v>
      </c>
      <c r="I15" s="18">
        <f>I16+I17+I18+I19</f>
        <v>0</v>
      </c>
      <c r="J15" s="18">
        <f>J16+J17+J18+J19</f>
        <v>0</v>
      </c>
      <c r="K15" s="18">
        <f>K16+K17+K18+K19</f>
        <v>0</v>
      </c>
      <c r="L15" s="204"/>
      <c r="M15" s="204"/>
    </row>
    <row r="16" spans="1:13" ht="40.5" customHeight="1">
      <c r="A16" s="202"/>
      <c r="B16" s="203"/>
      <c r="C16" s="17" t="s">
        <v>44</v>
      </c>
      <c r="D16" s="17" t="s">
        <v>9</v>
      </c>
      <c r="E16" s="18">
        <f>E6</f>
        <v>0</v>
      </c>
      <c r="F16" s="18">
        <f>G16+H16+I16+J16+K16</f>
        <v>0</v>
      </c>
      <c r="G16" s="18">
        <f>G6</f>
        <v>0</v>
      </c>
      <c r="H16" s="18">
        <f>H6</f>
        <v>0</v>
      </c>
      <c r="I16" s="18">
        <f>I6</f>
        <v>0</v>
      </c>
      <c r="J16" s="18">
        <f>J6</f>
        <v>0</v>
      </c>
      <c r="K16" s="18">
        <f>K6</f>
        <v>0</v>
      </c>
      <c r="L16" s="204"/>
      <c r="M16" s="204"/>
    </row>
    <row r="17" spans="1:13" ht="39.75" customHeight="1">
      <c r="A17" s="202"/>
      <c r="B17" s="203"/>
      <c r="C17" s="17" t="s">
        <v>44</v>
      </c>
      <c r="D17" s="17" t="s">
        <v>10</v>
      </c>
      <c r="E17" s="18">
        <f>E7</f>
        <v>0</v>
      </c>
      <c r="F17" s="18">
        <f>G17+H17+I17+J17+K17</f>
        <v>0</v>
      </c>
      <c r="G17" s="18">
        <f aca="true" t="shared" si="6" ref="G17:K19">G7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204"/>
      <c r="M17" s="204"/>
    </row>
    <row r="18" spans="1:13" ht="63" customHeight="1">
      <c r="A18" s="202"/>
      <c r="B18" s="203"/>
      <c r="C18" s="17" t="s">
        <v>44</v>
      </c>
      <c r="D18" s="17" t="s">
        <v>11</v>
      </c>
      <c r="E18" s="18">
        <f>E8</f>
        <v>0</v>
      </c>
      <c r="F18" s="18">
        <f>G18+H18+I18+J18+K18</f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0</v>
      </c>
      <c r="L18" s="204"/>
      <c r="M18" s="204"/>
    </row>
    <row r="19" spans="1:13" ht="27" customHeight="1">
      <c r="A19" s="202"/>
      <c r="B19" s="203"/>
      <c r="C19" s="17" t="s">
        <v>44</v>
      </c>
      <c r="D19" s="17" t="s">
        <v>34</v>
      </c>
      <c r="E19" s="18">
        <f>E9</f>
        <v>0</v>
      </c>
      <c r="F19" s="18">
        <f>G19+H19+I19+J19+K19</f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204"/>
      <c r="M19" s="204"/>
    </row>
    <row r="20" spans="1:13" ht="1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4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5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66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0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2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6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</sheetData>
  <sheetProtection/>
  <mergeCells count="22"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  <mergeCell ref="L10:L14"/>
    <mergeCell ref="E1:E2"/>
    <mergeCell ref="F1:F2"/>
    <mergeCell ref="B15:B19"/>
    <mergeCell ref="A15:A19"/>
    <mergeCell ref="D1:D2"/>
    <mergeCell ref="M1:M2"/>
    <mergeCell ref="L1:L2"/>
    <mergeCell ref="A5:A9"/>
    <mergeCell ref="B5:B9"/>
    <mergeCell ref="B1:B2"/>
    <mergeCell ref="A1:A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9">
      <selection activeCell="I13" sqref="I13"/>
    </sheetView>
  </sheetViews>
  <sheetFormatPr defaultColWidth="9.00390625" defaultRowHeight="15"/>
  <cols>
    <col min="1" max="1" width="7.00390625" style="0" customWidth="1"/>
    <col min="2" max="2" width="14.8515625" style="0" customWidth="1"/>
    <col min="3" max="3" width="9.00390625" style="0" customWidth="1"/>
    <col min="4" max="4" width="10.57421875" style="0" customWidth="1"/>
    <col min="5" max="5" width="11.140625" style="0" bestFit="1" customWidth="1"/>
    <col min="6" max="6" width="13.28125" style="0" customWidth="1"/>
    <col min="7" max="7" width="10.57421875" style="0" customWidth="1"/>
    <col min="8" max="8" width="12.57421875" style="61" customWidth="1"/>
    <col min="9" max="9" width="13.28125" style="61" customWidth="1"/>
    <col min="10" max="10" width="13.00390625" style="61" customWidth="1"/>
    <col min="11" max="11" width="10.7109375" style="61" customWidth="1"/>
    <col min="12" max="12" width="11.140625" style="0" customWidth="1"/>
    <col min="13" max="13" width="17.57421875" style="0" customWidth="1"/>
  </cols>
  <sheetData>
    <row r="1" spans="1:13" ht="61.5" customHeight="1">
      <c r="A1" s="222" t="s">
        <v>2</v>
      </c>
      <c r="B1" s="222" t="s">
        <v>36</v>
      </c>
      <c r="C1" s="222" t="s">
        <v>39</v>
      </c>
      <c r="D1" s="222" t="s">
        <v>3</v>
      </c>
      <c r="E1" s="103" t="s">
        <v>38</v>
      </c>
      <c r="F1" s="222" t="s">
        <v>4</v>
      </c>
      <c r="G1" s="222" t="s">
        <v>5</v>
      </c>
      <c r="H1" s="222"/>
      <c r="I1" s="222"/>
      <c r="J1" s="222"/>
      <c r="K1" s="222"/>
      <c r="L1" s="222" t="s">
        <v>6</v>
      </c>
      <c r="M1" s="222" t="s">
        <v>13</v>
      </c>
    </row>
    <row r="2" spans="1:13" ht="84" customHeight="1">
      <c r="A2" s="222"/>
      <c r="B2" s="222"/>
      <c r="C2" s="222"/>
      <c r="D2" s="222"/>
      <c r="E2" s="103"/>
      <c r="F2" s="222"/>
      <c r="G2" s="55" t="s">
        <v>77</v>
      </c>
      <c r="H2" s="73" t="s">
        <v>78</v>
      </c>
      <c r="I2" s="73" t="s">
        <v>74</v>
      </c>
      <c r="J2" s="73" t="s">
        <v>79</v>
      </c>
      <c r="K2" s="73" t="s">
        <v>80</v>
      </c>
      <c r="L2" s="222"/>
      <c r="M2" s="222"/>
    </row>
    <row r="3" spans="1:13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74">
        <v>8</v>
      </c>
      <c r="I3" s="74">
        <v>9</v>
      </c>
      <c r="J3" s="74">
        <v>10</v>
      </c>
      <c r="K3" s="74">
        <v>11</v>
      </c>
      <c r="L3" s="56">
        <v>12</v>
      </c>
      <c r="M3" s="56">
        <v>13</v>
      </c>
    </row>
    <row r="4" spans="1:13" ht="18" customHeight="1">
      <c r="A4" s="223" t="s">
        <v>52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s="12" customFormat="1" ht="18.75" customHeight="1">
      <c r="A5" s="224" t="s">
        <v>24</v>
      </c>
      <c r="B5" s="227" t="s">
        <v>108</v>
      </c>
      <c r="C5" s="57" t="s">
        <v>44</v>
      </c>
      <c r="D5" s="57" t="s">
        <v>7</v>
      </c>
      <c r="E5" s="58">
        <f aca="true" t="shared" si="0" ref="E5:K5">E6+E7+E8+E9</f>
        <v>68399.2</v>
      </c>
      <c r="F5" s="58">
        <f t="shared" si="0"/>
        <v>332205.8</v>
      </c>
      <c r="G5" s="58">
        <f t="shared" si="0"/>
        <v>60485.35</v>
      </c>
      <c r="H5" s="58">
        <f t="shared" si="0"/>
        <v>72260.02</v>
      </c>
      <c r="I5" s="58">
        <f t="shared" si="0"/>
        <v>66979.03</v>
      </c>
      <c r="J5" s="58">
        <f t="shared" si="0"/>
        <v>66240.7</v>
      </c>
      <c r="K5" s="58">
        <f t="shared" si="0"/>
        <v>66240.7</v>
      </c>
      <c r="L5" s="106" t="s">
        <v>8</v>
      </c>
      <c r="M5" s="227" t="s">
        <v>66</v>
      </c>
    </row>
    <row r="6" spans="1:13" s="12" customFormat="1" ht="36">
      <c r="A6" s="225"/>
      <c r="B6" s="228"/>
      <c r="C6" s="57" t="s">
        <v>44</v>
      </c>
      <c r="D6" s="57" t="s">
        <v>9</v>
      </c>
      <c r="E6" s="58">
        <f>E11+E16</f>
        <v>0</v>
      </c>
      <c r="F6" s="47">
        <f aca="true" t="shared" si="1" ref="F6:F19">G6+H6+I6+J6+K6</f>
        <v>0</v>
      </c>
      <c r="G6" s="58">
        <f>G11+G16</f>
        <v>0</v>
      </c>
      <c r="H6" s="58">
        <f>H11+H16</f>
        <v>0</v>
      </c>
      <c r="I6" s="58">
        <f>I11+I16</f>
        <v>0</v>
      </c>
      <c r="J6" s="58">
        <f>J11+J16</f>
        <v>0</v>
      </c>
      <c r="K6" s="58">
        <f>K11+K16</f>
        <v>0</v>
      </c>
      <c r="L6" s="106"/>
      <c r="M6" s="228"/>
    </row>
    <row r="7" spans="1:13" s="12" customFormat="1" ht="48">
      <c r="A7" s="225"/>
      <c r="B7" s="228"/>
      <c r="C7" s="57" t="s">
        <v>44</v>
      </c>
      <c r="D7" s="57" t="s">
        <v>10</v>
      </c>
      <c r="E7" s="58">
        <f>E12+E17</f>
        <v>0</v>
      </c>
      <c r="F7" s="47">
        <f t="shared" si="1"/>
        <v>0</v>
      </c>
      <c r="G7" s="58">
        <f aca="true" t="shared" si="2" ref="G7:K9">G12+G17</f>
        <v>0</v>
      </c>
      <c r="H7" s="58">
        <f t="shared" si="2"/>
        <v>0</v>
      </c>
      <c r="I7" s="58">
        <f t="shared" si="2"/>
        <v>0</v>
      </c>
      <c r="J7" s="58">
        <f t="shared" si="2"/>
        <v>0</v>
      </c>
      <c r="K7" s="58">
        <f t="shared" si="2"/>
        <v>0</v>
      </c>
      <c r="L7" s="106"/>
      <c r="M7" s="228"/>
    </row>
    <row r="8" spans="1:13" s="12" customFormat="1" ht="60">
      <c r="A8" s="225"/>
      <c r="B8" s="228"/>
      <c r="C8" s="57" t="s">
        <v>44</v>
      </c>
      <c r="D8" s="57" t="s">
        <v>11</v>
      </c>
      <c r="E8" s="58">
        <f>E13+E18+E21</f>
        <v>68399.2</v>
      </c>
      <c r="F8" s="47">
        <f t="shared" si="1"/>
        <v>332205.8</v>
      </c>
      <c r="G8" s="58">
        <f>G13+G18+G21</f>
        <v>60485.35</v>
      </c>
      <c r="H8" s="58">
        <f>H13+H18+H21</f>
        <v>72260.02</v>
      </c>
      <c r="I8" s="58">
        <f>I13+I18+I21</f>
        <v>66979.03</v>
      </c>
      <c r="J8" s="58">
        <f>J13+J18+J21</f>
        <v>66240.7</v>
      </c>
      <c r="K8" s="58">
        <f>K13+K18+K21</f>
        <v>66240.7</v>
      </c>
      <c r="L8" s="106"/>
      <c r="M8" s="228"/>
    </row>
    <row r="9" spans="1:13" ht="24">
      <c r="A9" s="226"/>
      <c r="B9" s="229"/>
      <c r="C9" s="57" t="s">
        <v>44</v>
      </c>
      <c r="D9" s="57" t="s">
        <v>34</v>
      </c>
      <c r="E9" s="58">
        <f>E14+E19</f>
        <v>0</v>
      </c>
      <c r="F9" s="47">
        <f t="shared" si="1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106"/>
      <c r="M9" s="229"/>
    </row>
    <row r="10" spans="1:13" ht="18" customHeight="1">
      <c r="A10" s="206" t="s">
        <v>19</v>
      </c>
      <c r="B10" s="143" t="s">
        <v>144</v>
      </c>
      <c r="C10" s="17" t="s">
        <v>44</v>
      </c>
      <c r="D10" s="17" t="s">
        <v>7</v>
      </c>
      <c r="E10" s="18">
        <f aca="true" t="shared" si="3" ref="E10:K10">E11+E12+E13+E14</f>
        <v>31343</v>
      </c>
      <c r="F10" s="18">
        <f t="shared" si="3"/>
        <v>219972.00000000003</v>
      </c>
      <c r="G10" s="18">
        <f t="shared" si="3"/>
        <v>41418.5</v>
      </c>
      <c r="H10" s="47">
        <f t="shared" si="3"/>
        <v>47642.200000000004</v>
      </c>
      <c r="I10" s="47">
        <f t="shared" si="3"/>
        <v>43637.1</v>
      </c>
      <c r="J10" s="47">
        <f t="shared" si="3"/>
        <v>43637.1</v>
      </c>
      <c r="K10" s="47">
        <f t="shared" si="3"/>
        <v>43637.1</v>
      </c>
      <c r="L10" s="204" t="s">
        <v>8</v>
      </c>
      <c r="M10" s="146"/>
    </row>
    <row r="11" spans="1:13" ht="39.75" customHeight="1">
      <c r="A11" s="206"/>
      <c r="B11" s="144"/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47">
        <v>0</v>
      </c>
      <c r="I11" s="47">
        <v>0</v>
      </c>
      <c r="J11" s="47">
        <v>0</v>
      </c>
      <c r="K11" s="47">
        <v>0</v>
      </c>
      <c r="L11" s="204"/>
      <c r="M11" s="147"/>
    </row>
    <row r="12" spans="1:13" ht="50.25" customHeight="1">
      <c r="A12" s="206"/>
      <c r="B12" s="144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47">
        <v>0</v>
      </c>
      <c r="I12" s="47">
        <v>0</v>
      </c>
      <c r="J12" s="47">
        <v>0</v>
      </c>
      <c r="K12" s="47">
        <v>0</v>
      </c>
      <c r="L12" s="204"/>
      <c r="M12" s="147"/>
    </row>
    <row r="13" spans="1:13" ht="62.25" customHeight="1">
      <c r="A13" s="206"/>
      <c r="B13" s="144"/>
      <c r="C13" s="17" t="s">
        <v>44</v>
      </c>
      <c r="D13" s="17" t="s">
        <v>11</v>
      </c>
      <c r="E13" s="18">
        <v>31343</v>
      </c>
      <c r="F13" s="18">
        <f t="shared" si="1"/>
        <v>219972.00000000003</v>
      </c>
      <c r="G13" s="18">
        <f>41711+133.5-426</f>
        <v>41418.5</v>
      </c>
      <c r="H13" s="47">
        <f>40842+583.8+1370+268.3+1941.5-114+430.6+320+2000</f>
        <v>47642.200000000004</v>
      </c>
      <c r="I13" s="47">
        <f>43637.1+336.6-336.6</f>
        <v>43637.1</v>
      </c>
      <c r="J13" s="47">
        <v>43637.1</v>
      </c>
      <c r="K13" s="47">
        <v>43637.1</v>
      </c>
      <c r="L13" s="204"/>
      <c r="M13" s="147"/>
    </row>
    <row r="14" spans="1:13" ht="25.5" customHeight="1">
      <c r="A14" s="206"/>
      <c r="B14" s="145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47">
        <v>0</v>
      </c>
      <c r="I14" s="47">
        <v>0</v>
      </c>
      <c r="J14" s="47">
        <v>0</v>
      </c>
      <c r="K14" s="47">
        <v>0</v>
      </c>
      <c r="L14" s="204"/>
      <c r="M14" s="148"/>
    </row>
    <row r="15" spans="1:13" ht="24" customHeight="1">
      <c r="A15" s="206" t="s">
        <v>25</v>
      </c>
      <c r="B15" s="143" t="s">
        <v>145</v>
      </c>
      <c r="C15" s="17" t="s">
        <v>44</v>
      </c>
      <c r="D15" s="28" t="s">
        <v>7</v>
      </c>
      <c r="E15" s="18">
        <f aca="true" t="shared" si="4" ref="E15:K15">E16+E17+E18+E19</f>
        <v>25405</v>
      </c>
      <c r="F15" s="18">
        <f t="shared" si="4"/>
        <v>80306.63</v>
      </c>
      <c r="G15" s="18">
        <f t="shared" si="4"/>
        <v>15481.5</v>
      </c>
      <c r="H15" s="47">
        <f t="shared" si="4"/>
        <v>15644.33</v>
      </c>
      <c r="I15" s="47">
        <f t="shared" si="4"/>
        <v>16393.6</v>
      </c>
      <c r="J15" s="47">
        <f t="shared" si="4"/>
        <v>16393.6</v>
      </c>
      <c r="K15" s="47">
        <f t="shared" si="4"/>
        <v>16393.6</v>
      </c>
      <c r="L15" s="204" t="s">
        <v>59</v>
      </c>
      <c r="M15" s="204"/>
    </row>
    <row r="16" spans="1:13" ht="39.75" customHeight="1">
      <c r="A16" s="206"/>
      <c r="B16" s="144"/>
      <c r="C16" s="17" t="s">
        <v>44</v>
      </c>
      <c r="D16" s="17" t="s">
        <v>9</v>
      </c>
      <c r="E16" s="18">
        <v>0</v>
      </c>
      <c r="F16" s="18">
        <f t="shared" si="1"/>
        <v>0</v>
      </c>
      <c r="G16" s="18">
        <v>0</v>
      </c>
      <c r="H16" s="47">
        <v>0</v>
      </c>
      <c r="I16" s="47">
        <v>0</v>
      </c>
      <c r="J16" s="47">
        <v>0</v>
      </c>
      <c r="K16" s="47">
        <v>0</v>
      </c>
      <c r="L16" s="204"/>
      <c r="M16" s="204"/>
    </row>
    <row r="17" spans="1:13" ht="48">
      <c r="A17" s="206"/>
      <c r="B17" s="144"/>
      <c r="C17" s="17" t="s">
        <v>44</v>
      </c>
      <c r="D17" s="17" t="s">
        <v>10</v>
      </c>
      <c r="E17" s="18">
        <v>0</v>
      </c>
      <c r="F17" s="18">
        <f t="shared" si="1"/>
        <v>0</v>
      </c>
      <c r="G17" s="18">
        <v>0</v>
      </c>
      <c r="H17" s="47">
        <v>0</v>
      </c>
      <c r="I17" s="47">
        <v>0</v>
      </c>
      <c r="J17" s="47">
        <v>0</v>
      </c>
      <c r="K17" s="47">
        <v>0</v>
      </c>
      <c r="L17" s="204"/>
      <c r="M17" s="204"/>
    </row>
    <row r="18" spans="1:13" ht="63" customHeight="1">
      <c r="A18" s="206"/>
      <c r="B18" s="144"/>
      <c r="C18" s="17" t="s">
        <v>44</v>
      </c>
      <c r="D18" s="17" t="s">
        <v>11</v>
      </c>
      <c r="E18" s="18">
        <v>25405</v>
      </c>
      <c r="F18" s="18">
        <f t="shared" si="1"/>
        <v>80306.63</v>
      </c>
      <c r="G18" s="18">
        <f>15773-291.5</f>
        <v>15481.5</v>
      </c>
      <c r="H18" s="47">
        <f>15346+298.33</f>
        <v>15644.33</v>
      </c>
      <c r="I18" s="47">
        <v>16393.6</v>
      </c>
      <c r="J18" s="47">
        <v>16393.6</v>
      </c>
      <c r="K18" s="47">
        <v>16393.6</v>
      </c>
      <c r="L18" s="204"/>
      <c r="M18" s="204"/>
    </row>
    <row r="19" spans="1:13" ht="30.75" customHeight="1">
      <c r="A19" s="206"/>
      <c r="B19" s="145"/>
      <c r="C19" s="17" t="s">
        <v>44</v>
      </c>
      <c r="D19" s="17" t="s">
        <v>34</v>
      </c>
      <c r="E19" s="18">
        <v>0</v>
      </c>
      <c r="F19" s="18">
        <f t="shared" si="1"/>
        <v>0</v>
      </c>
      <c r="G19" s="18">
        <v>0</v>
      </c>
      <c r="H19" s="47">
        <v>0</v>
      </c>
      <c r="I19" s="47">
        <v>0</v>
      </c>
      <c r="J19" s="47">
        <v>0</v>
      </c>
      <c r="K19" s="47">
        <v>0</v>
      </c>
      <c r="L19" s="204"/>
      <c r="M19" s="204"/>
    </row>
    <row r="20" spans="1:13" ht="24.75" customHeight="1">
      <c r="A20" s="157" t="s">
        <v>20</v>
      </c>
      <c r="B20" s="154" t="s">
        <v>146</v>
      </c>
      <c r="C20" s="17" t="s">
        <v>44</v>
      </c>
      <c r="D20" s="28" t="s">
        <v>7</v>
      </c>
      <c r="E20" s="18">
        <f aca="true" t="shared" si="5" ref="E20:K20">E21</f>
        <v>11651.2</v>
      </c>
      <c r="F20" s="18">
        <f t="shared" si="5"/>
        <v>31927.17</v>
      </c>
      <c r="G20" s="18">
        <f t="shared" si="5"/>
        <v>3585.3500000000004</v>
      </c>
      <c r="H20" s="47">
        <f t="shared" si="5"/>
        <v>8973.49</v>
      </c>
      <c r="I20" s="47">
        <f t="shared" si="5"/>
        <v>6948.33</v>
      </c>
      <c r="J20" s="47">
        <f t="shared" si="5"/>
        <v>6210</v>
      </c>
      <c r="K20" s="47">
        <f t="shared" si="5"/>
        <v>6210</v>
      </c>
      <c r="L20" s="146" t="s">
        <v>59</v>
      </c>
      <c r="M20" s="146"/>
    </row>
    <row r="21" spans="1:13" ht="63" customHeight="1">
      <c r="A21" s="99"/>
      <c r="B21" s="156"/>
      <c r="C21" s="17" t="s">
        <v>44</v>
      </c>
      <c r="D21" s="17" t="s">
        <v>11</v>
      </c>
      <c r="E21" s="18">
        <v>11651.2</v>
      </c>
      <c r="F21" s="18">
        <f>G21+H21+I21+J21+K21</f>
        <v>31927.17</v>
      </c>
      <c r="G21" s="18">
        <f>11583-1800-2300-748.65-3149</f>
        <v>3585.3500000000004</v>
      </c>
      <c r="H21" s="47">
        <f>6210-768.18+3830-298.33</f>
        <v>8973.49</v>
      </c>
      <c r="I21" s="47">
        <f>6210+300-761.67+850+350</f>
        <v>6948.33</v>
      </c>
      <c r="J21" s="47">
        <f>5560+650</f>
        <v>6210</v>
      </c>
      <c r="K21" s="47">
        <f>5560+650</f>
        <v>6210</v>
      </c>
      <c r="L21" s="85"/>
      <c r="M21" s="85"/>
    </row>
    <row r="22" spans="1:13" ht="22.5" customHeight="1">
      <c r="A22" s="157"/>
      <c r="B22" s="188" t="s">
        <v>53</v>
      </c>
      <c r="C22" s="17" t="s">
        <v>44</v>
      </c>
      <c r="D22" s="28" t="s">
        <v>7</v>
      </c>
      <c r="E22" s="18">
        <f>E23+E24+E25+E26</f>
        <v>68399.2</v>
      </c>
      <c r="F22" s="18">
        <f aca="true" t="shared" si="6" ref="F22:K22">F23+F24+F25+F26</f>
        <v>332205.8</v>
      </c>
      <c r="G22" s="18">
        <f t="shared" si="6"/>
        <v>60485.35</v>
      </c>
      <c r="H22" s="47">
        <f>H23+H24+H25+H26</f>
        <v>72260.02</v>
      </c>
      <c r="I22" s="47">
        <f t="shared" si="6"/>
        <v>66979.03</v>
      </c>
      <c r="J22" s="47">
        <f t="shared" si="6"/>
        <v>66240.7</v>
      </c>
      <c r="K22" s="47">
        <f t="shared" si="6"/>
        <v>66240.7</v>
      </c>
      <c r="L22" s="146"/>
      <c r="M22" s="146"/>
    </row>
    <row r="23" spans="1:13" ht="40.5" customHeight="1">
      <c r="A23" s="98"/>
      <c r="B23" s="189"/>
      <c r="C23" s="17" t="s">
        <v>44</v>
      </c>
      <c r="D23" s="17" t="s">
        <v>9</v>
      </c>
      <c r="E23" s="18">
        <f>E6</f>
        <v>0</v>
      </c>
      <c r="F23" s="18">
        <f aca="true" t="shared" si="7" ref="F23:F31">G23+H23+I23+J23+K23</f>
        <v>0</v>
      </c>
      <c r="G23" s="18">
        <f>G6</f>
        <v>0</v>
      </c>
      <c r="H23" s="47">
        <f>H6</f>
        <v>0</v>
      </c>
      <c r="I23" s="47">
        <f>I6</f>
        <v>0</v>
      </c>
      <c r="J23" s="47">
        <f>J6</f>
        <v>0</v>
      </c>
      <c r="K23" s="47">
        <f>K6</f>
        <v>0</v>
      </c>
      <c r="L23" s="84"/>
      <c r="M23" s="84"/>
    </row>
    <row r="24" spans="1:13" ht="49.5" customHeight="1">
      <c r="A24" s="98"/>
      <c r="B24" s="189"/>
      <c r="C24" s="17" t="s">
        <v>44</v>
      </c>
      <c r="D24" s="17" t="s">
        <v>10</v>
      </c>
      <c r="E24" s="18">
        <f>E7</f>
        <v>0</v>
      </c>
      <c r="F24" s="18">
        <f t="shared" si="7"/>
        <v>0</v>
      </c>
      <c r="G24" s="18">
        <f aca="true" t="shared" si="8" ref="G24:K26">G7</f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84"/>
      <c r="M24" s="84"/>
    </row>
    <row r="25" spans="1:13" ht="60.75" customHeight="1">
      <c r="A25" s="98"/>
      <c r="B25" s="189"/>
      <c r="C25" s="17" t="s">
        <v>44</v>
      </c>
      <c r="D25" s="17" t="s">
        <v>11</v>
      </c>
      <c r="E25" s="18">
        <f>E8</f>
        <v>68399.2</v>
      </c>
      <c r="F25" s="18">
        <f t="shared" si="7"/>
        <v>332205.8</v>
      </c>
      <c r="G25" s="18">
        <f t="shared" si="8"/>
        <v>60485.35</v>
      </c>
      <c r="H25" s="47">
        <f>H8</f>
        <v>72260.02</v>
      </c>
      <c r="I25" s="47">
        <f>I8</f>
        <v>66979.03</v>
      </c>
      <c r="J25" s="47">
        <f t="shared" si="8"/>
        <v>66240.7</v>
      </c>
      <c r="K25" s="47">
        <f t="shared" si="8"/>
        <v>66240.7</v>
      </c>
      <c r="L25" s="84"/>
      <c r="M25" s="84"/>
    </row>
    <row r="26" spans="1:13" ht="30.75" customHeight="1">
      <c r="A26" s="99"/>
      <c r="B26" s="190"/>
      <c r="C26" s="17" t="s">
        <v>44</v>
      </c>
      <c r="D26" s="17" t="s">
        <v>34</v>
      </c>
      <c r="E26" s="18">
        <f>E9</f>
        <v>0</v>
      </c>
      <c r="F26" s="18">
        <f t="shared" si="7"/>
        <v>0</v>
      </c>
      <c r="G26" s="18">
        <f t="shared" si="8"/>
        <v>0</v>
      </c>
      <c r="H26" s="47">
        <f t="shared" si="8"/>
        <v>0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85"/>
      <c r="M26" s="85"/>
    </row>
    <row r="27" spans="1:13" ht="18" customHeight="1">
      <c r="A27" s="221"/>
      <c r="B27" s="188" t="s">
        <v>95</v>
      </c>
      <c r="C27" s="17" t="s">
        <v>44</v>
      </c>
      <c r="D27" s="17" t="s">
        <v>7</v>
      </c>
      <c r="E27" s="18">
        <f>E28+E29+E30+E31</f>
        <v>3978436.4000000004</v>
      </c>
      <c r="F27" s="48">
        <f t="shared" si="7"/>
        <v>23040565.654989995</v>
      </c>
      <c r="G27" s="44">
        <f>G28+G29+G30+G31</f>
        <v>4388532.76</v>
      </c>
      <c r="H27" s="49">
        <f>H28+H29+H30+H31</f>
        <v>4513718.54789</v>
      </c>
      <c r="I27" s="49">
        <f>I28+I29+I30+I31</f>
        <v>5003775.34834</v>
      </c>
      <c r="J27" s="49">
        <f>J28+J29+J30+J31</f>
        <v>4551532.56903</v>
      </c>
      <c r="K27" s="47">
        <f>K28+K29+K30+K31</f>
        <v>4583006.42973</v>
      </c>
      <c r="L27" s="204"/>
      <c r="M27" s="204"/>
    </row>
    <row r="28" spans="1:13" ht="38.25" customHeight="1">
      <c r="A28" s="221"/>
      <c r="B28" s="189"/>
      <c r="C28" s="17" t="s">
        <v>44</v>
      </c>
      <c r="D28" s="17" t="s">
        <v>9</v>
      </c>
      <c r="E28" s="18">
        <f>'Подпрограмма 1'!E93+'Подпрограмма 2'!E177+'Подпрограмма 3'!E79+'Подпрограмма 4'!E16+'Полдпрограмма 5'!E23</f>
        <v>0</v>
      </c>
      <c r="F28" s="48">
        <f t="shared" si="7"/>
        <v>858714.6375199999</v>
      </c>
      <c r="G28" s="44">
        <f>'Подпрограмма 1'!G93+'Подпрограмма 2'!G177+'Подпрограмма 3'!G79+'Подпрограмма 4'!G16+'Полдпрограмма 5'!G23</f>
        <v>53079.747</v>
      </c>
      <c r="H28" s="49">
        <f>'Подпрограмма 1'!H93+'Подпрограмма 2'!H177+'Подпрограмма 3'!H79+'Подпрограмма 4'!H16+'Полдпрограмма 5'!H23</f>
        <v>142455.20723</v>
      </c>
      <c r="I28" s="49">
        <f>'Подпрограмма 1'!I93+'Подпрограмма 2'!I177+'Подпрограмма 3'!I79+'Подпрограмма 4'!I16+'Полдпрограмма 5'!I23</f>
        <v>334039.78398</v>
      </c>
      <c r="J28" s="49">
        <f>'Подпрограмма 1'!J93+'Подпрограмма 2'!J177+'Подпрограмма 3'!J79+'Подпрограмма 4'!J16+'Полдпрограмма 5'!J23</f>
        <v>161823.84266000002</v>
      </c>
      <c r="K28" s="47">
        <f>'Подпрограмма 1'!K93+'Подпрограмма 2'!K177+'Подпрограмма 3'!K79+'Подпрограмма 4'!K16+'Полдпрограмма 5'!K23</f>
        <v>167316.05664999998</v>
      </c>
      <c r="L28" s="204"/>
      <c r="M28" s="204"/>
    </row>
    <row r="29" spans="1:13" ht="48" customHeight="1">
      <c r="A29" s="221"/>
      <c r="B29" s="189"/>
      <c r="C29" s="17" t="s">
        <v>44</v>
      </c>
      <c r="D29" s="17" t="s">
        <v>10</v>
      </c>
      <c r="E29" s="18">
        <f>'Подпрограмма 1'!E94+'Подпрограмма 2'!E178+'Подпрограмма 3'!E80+'Подпрограмма 4'!E17+'Полдпрограмма 5'!E24</f>
        <v>2677294</v>
      </c>
      <c r="F29" s="48">
        <f t="shared" si="7"/>
        <v>15191964.50191</v>
      </c>
      <c r="G29" s="44">
        <f>'Подпрограмма 1'!G94+'Подпрограмма 2'!G178+'Подпрограмма 3'!G80+'Подпрограмма 4'!G17+'Полдпрограмма 5'!G24</f>
        <v>2993221.753</v>
      </c>
      <c r="H29" s="49">
        <f>'Подпрограмма 1'!H94+'Подпрограмма 2'!H178+'Подпрограмма 3'!H80+'Подпрограмма 4'!H17+'Полдпрограмма 5'!H24</f>
        <v>2984853.4344300004</v>
      </c>
      <c r="I29" s="49">
        <f>'Подпрограмма 1'!I94+'Подпрограмма 2'!I178+'Подпрограмма 3'!I80+'Подпрограмма 4'!I17+'Полдпрограмма 5'!I24</f>
        <v>3126348.9699</v>
      </c>
      <c r="J29" s="49">
        <f>'Подпрограмма 1'!J94+'Подпрограмма 2'!J178+'Подпрограмма 3'!J80+'Подпрограмма 4'!J17+'Полдпрограмма 5'!J24</f>
        <v>3035603.7744699996</v>
      </c>
      <c r="K29" s="47">
        <f>'Подпрограмма 1'!K94+'Подпрограмма 2'!K178+'Подпрограмма 3'!K80+'Подпрограмма 4'!K17+'Полдпрограмма 5'!K24</f>
        <v>3051936.57011</v>
      </c>
      <c r="L29" s="204"/>
      <c r="M29" s="204"/>
    </row>
    <row r="30" spans="1:13" ht="60" customHeight="1">
      <c r="A30" s="221"/>
      <c r="B30" s="189"/>
      <c r="C30" s="17" t="s">
        <v>44</v>
      </c>
      <c r="D30" s="17" t="s">
        <v>11</v>
      </c>
      <c r="E30" s="18">
        <f>'Подпрограмма 1'!E95+'Подпрограмма 2'!E179+'Подпрограмма 3'!E81+'Подпрограмма 4'!E18+'Полдпрограмма 5'!E25</f>
        <v>1121316.7</v>
      </c>
      <c r="F30" s="48">
        <f t="shared" si="7"/>
        <v>5481048.51556</v>
      </c>
      <c r="G30" s="18">
        <f>'Подпрограмма 1'!G95+'Подпрограмма 2'!G179+'Подпрограмма 3'!G81+'Подпрограмма 4'!G18+'Полдпрограмма 5'!G25</f>
        <v>1123523.26</v>
      </c>
      <c r="H30" s="49">
        <f>'Подпрограмма 1'!H95+'Подпрограмма 2'!H179+'Подпрограмма 3'!H81+'Подпрограмма 4'!H18+'Полдпрограмма 5'!H25</f>
        <v>1116009.9062300003</v>
      </c>
      <c r="I30" s="49">
        <f>'Подпрограмма 1'!I95+'Подпрограмма 2'!I179+'Подпрограмма 3'!I81+'Подпрограмма 4'!I18+'Полдпрограмма 5'!I25</f>
        <v>1204386.5944600003</v>
      </c>
      <c r="J30" s="49">
        <f>'Подпрограмма 1'!J95+'Подпрограмма 2'!J179+'Подпрограмма 3'!J81+'Подпрограмма 4'!J18+'Полдпрограмма 5'!J25</f>
        <v>1014194.9519</v>
      </c>
      <c r="K30" s="47">
        <f>'Подпрограмма 1'!K95+'Подпрограмма 2'!K179+'Подпрограмма 3'!K81+'Подпрограмма 4'!K18+'Полдпрограмма 5'!K25</f>
        <v>1022933.8029699998</v>
      </c>
      <c r="L30" s="204"/>
      <c r="M30" s="204"/>
    </row>
    <row r="31" spans="1:13" ht="30" customHeight="1">
      <c r="A31" s="221"/>
      <c r="B31" s="190"/>
      <c r="C31" s="17" t="s">
        <v>44</v>
      </c>
      <c r="D31" s="17" t="s">
        <v>34</v>
      </c>
      <c r="E31" s="18">
        <f>'Подпрограмма 1'!E96+'Подпрограмма 2'!E180+'Подпрограмма 3'!E82+'Подпрограмма 4'!E19+'Полдпрограмма 5'!E26</f>
        <v>179825.7</v>
      </c>
      <c r="F31" s="18">
        <f t="shared" si="7"/>
        <v>1508838</v>
      </c>
      <c r="G31" s="18">
        <f>'Подпрограмма 1'!G96+'Подпрограмма 2'!G180+'Подпрограмма 3'!G82+'Подпрограмма 4'!G19+'Полдпрограмма 5'!G26</f>
        <v>218708</v>
      </c>
      <c r="H31" s="47">
        <f>'Подпрограмма 1'!H96+'Подпрограмма 2'!H180+'Подпрограмма 3'!H82+'Подпрограмма 4'!H19+'Полдпрограмма 5'!H26</f>
        <v>270400</v>
      </c>
      <c r="I31" s="47">
        <f>'Подпрограмма 1'!I96+'Подпрограмма 2'!I180+'Подпрограмма 3'!I82+'Подпрограмма 4'!I19+'Полдпрограмма 5'!I26</f>
        <v>339000</v>
      </c>
      <c r="J31" s="47">
        <f>'Подпрограмма 1'!J96+'Подпрограмма 2'!J180+'Подпрограмма 3'!J82+'Подпрограмма 4'!J19+'Полдпрограмма 5'!J26</f>
        <v>339910</v>
      </c>
      <c r="K31" s="47">
        <f>'Подпрограмма 1'!K96+'Подпрограмма 2'!K180+'Подпрограмма 3'!K82+'Подпрограмма 4'!K19+'Полдпрограмма 5'!K26</f>
        <v>340820</v>
      </c>
      <c r="L31" s="204"/>
      <c r="M31" s="204"/>
    </row>
    <row r="32" spans="1:13" ht="30" customHeight="1">
      <c r="A32" s="39"/>
      <c r="B32" s="40"/>
      <c r="C32" s="41"/>
      <c r="D32" s="41"/>
      <c r="E32" s="42"/>
      <c r="F32" s="42"/>
      <c r="G32" s="42"/>
      <c r="H32" s="59"/>
      <c r="I32" s="59"/>
      <c r="J32" s="59"/>
      <c r="K32" s="59"/>
      <c r="L32" s="43"/>
      <c r="M32" s="43"/>
    </row>
    <row r="33" spans="1:13" ht="30" customHeight="1">
      <c r="A33" s="39"/>
      <c r="B33" s="40"/>
      <c r="C33" s="41"/>
      <c r="D33" s="41"/>
      <c r="E33" s="42"/>
      <c r="F33" s="42"/>
      <c r="G33" s="42"/>
      <c r="H33" s="59"/>
      <c r="I33" s="59"/>
      <c r="J33" s="59"/>
      <c r="K33" s="59"/>
      <c r="L33" s="43"/>
      <c r="M33" s="43"/>
    </row>
  </sheetData>
  <sheetProtection/>
  <mergeCells count="34"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  <mergeCell ref="E1:E2"/>
    <mergeCell ref="F1:F2"/>
    <mergeCell ref="A10:A14"/>
    <mergeCell ref="L10:L14"/>
    <mergeCell ref="G1:K1"/>
    <mergeCell ref="L1:L2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L20:L21"/>
    <mergeCell ref="M20:M21"/>
    <mergeCell ref="B20:B21"/>
    <mergeCell ref="B10:B14"/>
    <mergeCell ref="A22:A26"/>
    <mergeCell ref="L22:L26"/>
    <mergeCell ref="M22:M26"/>
    <mergeCell ref="B22:B2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Борзова А.В.</cp:lastModifiedBy>
  <cp:lastPrinted>2022-06-20T12:40:45Z</cp:lastPrinted>
  <dcterms:created xsi:type="dcterms:W3CDTF">2015-05-20T06:45:05Z</dcterms:created>
  <dcterms:modified xsi:type="dcterms:W3CDTF">2022-06-28T11:59:10Z</dcterms:modified>
  <cp:category/>
  <cp:version/>
  <cp:contentType/>
  <cp:contentStatus/>
</cp:coreProperties>
</file>