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4" r:id="rId4"/>
    <sheet name="Полдпрограмма 5" sheetId="5" r:id="rId5"/>
    <sheet name="Полдпрограмма 6" sheetId="6" state="hidden" r:id="rId6"/>
    <sheet name="Подпрограмма 8" sheetId="7" state="hidden" r:id="rId7"/>
  </sheets>
  <definedNames>
    <definedName name="_xlnm.Print_Area" localSheetId="1">'Подпрограмма 2'!$A$1:$M$137</definedName>
    <definedName name="_xlnm.Print_Area" localSheetId="2">'Подпрограмма 3'!$A$1:$M$80</definedName>
  </definedNames>
  <calcPr fullCalcOnLoad="1"/>
</workbook>
</file>

<file path=xl/sharedStrings.xml><?xml version="1.0" encoding="utf-8"?>
<sst xmlns="http://schemas.openxmlformats.org/spreadsheetml/2006/main" count="903" uniqueCount="185">
  <si>
    <t>Итого по Подпрограмме III:</t>
  </si>
  <si>
    <t>Итого по Подпрограмме II:</t>
  </si>
  <si>
    <t>№ п/п</t>
  </si>
  <si>
    <t>Источники финансирова-ния</t>
  </si>
  <si>
    <t>Всего (тыс. руб.)</t>
  </si>
  <si>
    <t>Объем финансирования по годам (тыс. руб.)</t>
  </si>
  <si>
    <t>Ответствен-ный за выполнение мероприятия подпрограм-мы</t>
  </si>
  <si>
    <t>Итого</t>
  </si>
  <si>
    <t>Управление образования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</si>
  <si>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</si>
  <si>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</si>
  <si>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</si>
  <si>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Итого по Подпрограмме I:</t>
  </si>
  <si>
    <t>Результаты выполнения мероприятий подпрограммы</t>
  </si>
  <si>
    <t>Управление образования Муници-пальные дошкольные образова-тельные учреждения</t>
  </si>
  <si>
    <t>Управление образования Муници- пальные образова-тельные учреждения</t>
  </si>
  <si>
    <t>Управление образования Муниципаль-ные обще-образова-тельные учреждения</t>
  </si>
  <si>
    <t xml:space="preserve">Управление образования
Муници-пальные общеоб-разова-тельные учреждения
</t>
  </si>
  <si>
    <t xml:space="preserve">Управление образования
Муници-пальные общеобра-зовательные учреждения
</t>
  </si>
  <si>
    <t>1.1.</t>
  </si>
  <si>
    <t>1.3.</t>
  </si>
  <si>
    <t>Подпрограмма I «Дошкольное образование»</t>
  </si>
  <si>
    <t>Подпрограмма II «Общее образование»</t>
  </si>
  <si>
    <t>Подпрограмма III «Дополнительное образование, воспитание и психолого-социальное сопровождение детей»</t>
  </si>
  <si>
    <t>1.</t>
  </si>
  <si>
    <t>1.2.</t>
  </si>
  <si>
    <t>2.</t>
  </si>
  <si>
    <t>2.3.</t>
  </si>
  <si>
    <t>3.</t>
  </si>
  <si>
    <t>5.</t>
  </si>
  <si>
    <t>6.</t>
  </si>
  <si>
    <t>5.1.</t>
  </si>
  <si>
    <t>6.1.</t>
  </si>
  <si>
    <t>3.1.</t>
  </si>
  <si>
    <t>Внебюджет-ные средства</t>
  </si>
  <si>
    <t xml:space="preserve">Управление образования Муниципаль-ные обще-образова-тельные учреждения
</t>
  </si>
  <si>
    <t>Мероприятия подпрограммы</t>
  </si>
  <si>
    <t>Результаты выполнения мероприятия подпрограммы</t>
  </si>
  <si>
    <t>Объем финанси-рования мероприятия в году, предшествующему году начала реализации муниципальной программы (тыс. руб.)</t>
  </si>
  <si>
    <t>Сроки исполнения мероприятия</t>
  </si>
  <si>
    <t>3.2.</t>
  </si>
  <si>
    <t>Комитет по культуре, делам молодежи и спорта</t>
  </si>
  <si>
    <t>7.</t>
  </si>
  <si>
    <t>Основное мероприятие A1.                   Федеральный проект "Культурная среда"</t>
  </si>
  <si>
    <t>2020-2024</t>
  </si>
  <si>
    <t>3.4.</t>
  </si>
  <si>
    <t xml:space="preserve">Управление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</si>
  <si>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</si>
  <si>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E2. Федеральный проект «Успех каждого ребенка»</t>
  </si>
  <si>
    <t>2.4.</t>
  </si>
  <si>
    <t>2.5.</t>
  </si>
  <si>
    <t>Перечень мероприятий муниципальной программы "Образование"</t>
  </si>
  <si>
    <t>Основное мероприятие Е1. Федеральный проект "Современная школа"</t>
  </si>
  <si>
    <t>Подпрограмма V «Обеспечивающая подпрограмма»</t>
  </si>
  <si>
    <t>Итого по Подпрограмме V:</t>
  </si>
  <si>
    <t>5.1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</si>
  <si>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</si>
  <si>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Администра-ция городского округа</t>
  </si>
  <si>
    <t>Управление образования
МКУ "УКС"</t>
  </si>
  <si>
    <t>Управление образования
Муници-пальные учреждения дополни-тельного образования
Комитет по культуре, делам молодежи и спорта</t>
  </si>
  <si>
    <t>Управление образования
Муници-пальные образова-тельные учреждения
Комитет по культуре, делам молодежи и спорта</t>
  </si>
  <si>
    <t>Управление образования
Муници-пальные образова– тельные учреждения 
Комитет по культуре, делам молодежи и спорта</t>
  </si>
  <si>
    <t xml:space="preserve">Управление образования
МКУ «ЦППМСП»
</t>
  </si>
  <si>
    <t>Подпрограмма IV «Профессиональное образование»</t>
  </si>
  <si>
    <t xml:space="preserve">Основное мероприятие E5. Федеральный проект «Учитель будущего» 
</t>
  </si>
  <si>
    <t>Педагогические работники, прошедшие добровольно независимую оценку квалификации</t>
  </si>
  <si>
    <t>Итого по Подпрограмме IV:</t>
  </si>
  <si>
    <t>Количество отремонтированных дошкольных образовательных организаций- 0 штук.</t>
  </si>
  <si>
    <t xml:space="preserve">Основное мероприятие E2. 
Федеральный проект «Успех каждого ребенка»                             
</t>
  </si>
  <si>
    <t>Доля детей в возрасте от 5 до 18 лет, охваченных дополнительным образованием 83,6% к 2024 году.</t>
  </si>
  <si>
    <t>Доля педагогических работников, прошедших
добровольную независимую оценку квалификации- 15% к 2024 году.</t>
  </si>
  <si>
    <t>Доля учителей и директоров школ, повысивших уровень квалификации- 100%  каждые три года.</t>
  </si>
  <si>
    <t xml:space="preserve">  2020 год</t>
  </si>
  <si>
    <t xml:space="preserve">    2021 год</t>
  </si>
  <si>
    <t xml:space="preserve">   2022 год</t>
  </si>
  <si>
    <t xml:space="preserve">     2023 год</t>
  </si>
  <si>
    <t xml:space="preserve">  2024 год</t>
  </si>
  <si>
    <t xml:space="preserve">     2020 год</t>
  </si>
  <si>
    <t xml:space="preserve">  2021 год</t>
  </si>
  <si>
    <t>2022 год</t>
  </si>
  <si>
    <t xml:space="preserve"> 2023 год</t>
  </si>
  <si>
    <t xml:space="preserve"> 2024 год</t>
  </si>
  <si>
    <t>2020 год</t>
  </si>
  <si>
    <t>2021 год</t>
  </si>
  <si>
    <t>2023 год</t>
  </si>
  <si>
    <t>2024 год</t>
  </si>
  <si>
    <t xml:space="preserve">Управление образования
Муници-пальные образова– тельные учреждения 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</si>
  <si>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</si>
  <si>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</t>
  </si>
  <si>
    <t>1.2</t>
  </si>
  <si>
    <t>2.2</t>
  </si>
  <si>
    <t>2.7.</t>
  </si>
  <si>
    <t>1.5.</t>
  </si>
  <si>
    <t>1.4.</t>
  </si>
  <si>
    <t>Администрации городского округа Домодедово</t>
  </si>
  <si>
    <t>1.6.</t>
  </si>
  <si>
    <t>6.2.</t>
  </si>
  <si>
    <t>6.4.</t>
  </si>
  <si>
    <t>6.5.</t>
  </si>
  <si>
    <t>7.1</t>
  </si>
  <si>
    <t>Приложение № 3 к постановлению</t>
  </si>
  <si>
    <t>Всего по Программе:</t>
  </si>
  <si>
    <t>3.5.</t>
  </si>
  <si>
    <t>3.7.</t>
  </si>
  <si>
    <t>3.3.</t>
  </si>
  <si>
    <t>Управление образования
Муници-пальные учреждения дополни-тельного образования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</si>
  <si>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Федерации- 3,306 тысяча человек.  Доля детей в возрасте от 5 до 18 лет, охваченных дополнительным образованием 83,6% к 2024 году.</t>
  </si>
  <si>
    <t>Количество организаций культуры, получивших современное оборудование (детские школы искусств по видам искусств) - 1 единица в 2020 году.</t>
  </si>
  <si>
    <t>1.9.</t>
  </si>
  <si>
    <t>3.9.</t>
  </si>
  <si>
    <t>8.</t>
  </si>
  <si>
    <t>8.1.</t>
  </si>
  <si>
    <t>8.2.</t>
  </si>
  <si>
    <t>Основное мероприятие 01. Финансовое обеспечение деятельности образовательных организаций</t>
  </si>
  <si>
    <t>Основное мероприятие 02. Финансовое обеспечение реализации прав граждан на получение общедоступного и бесплатного дошкольного образования</t>
  </si>
  <si>
    <t xml:space="preserve">Основное мероприятие 01. Создание условий для реализации полномочий органов местного самоуправления </t>
  </si>
  <si>
    <t xml:space="preserve">Основное мероприятие 03.  Финансовое обеспечение оказания услуг (выполнения работ) организациями дополнительного образования. </t>
  </si>
  <si>
    <t>Основное мероприятие 06. Обеспечение функционирования модели персонифицированно-го финансирования дополнительного образования детей</t>
  </si>
  <si>
    <t>Основное мероприятие 03. 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</si>
  <si>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Основное мероприятие 01. Проведение капитального ремонта объектов дошкольного образования</t>
  </si>
  <si>
    <t>Мероприятие 0104. Укрепление материально- технической базы и проведение текущего ремонта общеобразовательных организаций</t>
  </si>
  <si>
    <t>Основное мероприятие 05.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</si>
  <si>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 xml:space="preserve">Меропррятие Е201. Создание детских технопарков "Кванториум"                      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</si>
  <si>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</si>
  <si>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3.10.</t>
  </si>
  <si>
    <t>Мероприятие 03010.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</si>
  <si>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3.18.</t>
  </si>
  <si>
    <t>2021-2024</t>
  </si>
  <si>
    <t>Мероприятие 01.02.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</si>
  <si>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</si>
  <si>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</si>
  <si>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02.05.  Расходы на обеспечение деятельности (оказание услуг) муниципальных учреждений - дошкольные образовательные организации</t>
  </si>
  <si>
    <t>Мероприятие 02.07. Профессиональная физическая охрана муниципальных учреждений дошкольного образования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</si>
  <si>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</si>
  <si>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 xml:space="preserve">Мероприятие 01.01.               </t>
  </si>
  <si>
    <t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</si>
  <si>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Мероприятияе 01.03. Расходы на обеспечение деятельности (оказание услуг) муниципальных учреждений- общеобразовательные организации</t>
  </si>
  <si>
    <t xml:space="preserve">Мероприятияе 01.05. Профессиональная физическая охрана муниципальных учреждений в сфере общеобразовательных организаций </t>
  </si>
  <si>
    <t>Мероприятие 01.06.    Организация питания обучающихся и воспитанников общеобразовательных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</si>
  <si>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</si>
  <si>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Меропритяие 03.02.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</si>
  <si>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</si>
  <si>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03.07.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</si>
  <si>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03.09.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</si>
  <si>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05.01.         Расходы на обеспечение деятельности (оказания услуг) муниципальных учреждений- общеобразовательные организации</t>
  </si>
  <si>
    <t xml:space="preserve">Мероприятие Е1.01. 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           </t>
  </si>
  <si>
    <t>Мероприятие Е1.04. Мероприятия по проведению капитального ремонта в муниципальных общеобразовательных организациях в Московской области</t>
  </si>
  <si>
    <t>Мероприятие Е1.05.     Создание и обеспечение функционирования центров образования естественно- 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</si>
  <si>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Е2.01.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</si>
  <si>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Мероприятие 03.01. Расходы на обеспечение деятельности (оказание услуг) муниципальных учреждений- организации дополнительного образования
</t>
  </si>
  <si>
    <t>Мероприятие 03.03.   Профессиональная физическая охрана муниципальных учреждений дополнительного образования</t>
  </si>
  <si>
    <t>Мероприятие 05.01.   Внедрение и обеспечение функционирования модели персонифицированного финансирования дополнительного образования детей</t>
  </si>
  <si>
    <t xml:space="preserve">Мероприятие 06.01. </t>
  </si>
  <si>
    <t>Мероприятие Е2.02.  Создание новых мест в образовательных организациях различных типов для реализации дополнительных общеразвивающих прогоамм всех направленностей</t>
  </si>
  <si>
    <t xml:space="preserve">Мероприятие Е5.01.     </t>
  </si>
  <si>
    <t xml:space="preserve">Мероприятие 01.01. Обеспечение деятельности муниципальных органов- учреждения в сфере образования  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</si>
  <si>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</si>
  <si>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       Мероприятия в сфере образования</t>
  </si>
  <si>
    <t xml:space="preserve"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</si>
  <si>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</si>
  <si>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</si>
  <si>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6.6.</t>
  </si>
  <si>
    <t xml:space="preserve">Мероприятие Е1.06.   Проведение капитального ремонта, технического переоснащения и благоустройства территорий учреждений образования    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</si>
  <si>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деятельности-  110,0% к 2024 году.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- 100%.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</si>
  <si>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области-- 109,0% к 2024 году. Доступность дошкольного образования для детей в возрасте от трех до семи лет -      100 %.  Доля детей – инвалидов в возрасте от 1,5 года до 7 лет, охваченных дошкольным образованием, в общей численности детей-инвалидов такого возраста - 100%. Создано не менее 90 тысяч дополнительных мест, в том числе с обеспечением 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трёх лет за счёт средств федерального бюджета, бюджетов субъектов Российской Федерации и местных бюджетов с учётом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- 40 единиц в 2020 году.</t>
  </si>
  <si>
    <t>Для 935 тыс. детей в не менее чем в 7000 общеобразовательных организаций, расположенных в сельской местности, обновлена материально-техническая база для занятий физической культурой и спортом- 0 шт.
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- 0. 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деятельности, тысяча человек)- 0,500 тыс.чел. в 2020 году.</t>
  </si>
  <si>
    <t xml:space="preserve"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области-  100% к 2024 году.  Доля детей, привлекаемых к участию в творческих мероприятиях сферы культуры- 9,6% в 2020 году.  Доля детей в возрасте от 5 до 18 лет, охваченных дополнительным образованием 83,6% к 2024 году.  Доля детей-инвалидов в возрасте от 5 до 18 лет, получающих дополнительное образование, от общей численности детей-инвалидов данного возраста в Московской области - 50%. Доля детей, привлекаемых к участию в творческих мероприятиях, от общего числа детей- 26,6% к 2024 году. </t>
  </si>
  <si>
    <t xml:space="preserve"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образования- 325 единиц к 2024 году. Доступность дошкольного образования для детей в возрасте  до трех лет- 100%. 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- 20 единиц в 2021 году. </t>
  </si>
  <si>
    <t>1.51</t>
  </si>
  <si>
    <t xml:space="preserve">Мероприятие А1.51.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          </t>
  </si>
  <si>
    <t>Мероприятие 01.51.</t>
  </si>
  <si>
    <t xml:space="preserve">Мероприятие Е1.02. Создание центров образования естественно-научной и технологической направленностей           </t>
  </si>
  <si>
    <t>Основное мероприятие  P2. Федеральный проект «Содействие занятости»</t>
  </si>
  <si>
    <t>Основное мероприятие  05.  Модернизация детских школ искусств</t>
  </si>
  <si>
    <t>2.9.</t>
  </si>
  <si>
    <t>2.1.</t>
  </si>
  <si>
    <t xml:space="preserve">Мероприятие 02.01. Проведение капитального ремонта, технического переоснащения
и благоустройства территорий учреждений образования
</t>
  </si>
  <si>
    <t xml:space="preserve">Мероприятие 02.09. Создание и содержание дополнительных мест для детей в возрасте
от 1,5 до 7 лет
в организациях, осуществляющих присмотр и уход
за детьми
</t>
  </si>
  <si>
    <t>Доля обучающихся муниципальных 
общеобразовательных учреждений, 
обеспеченных горячим  питанием - 100%.                        Доля обучающихся общеобразовательных организаций, обеспеченных подвозом к месту обучения в муниципальных общеобразовательных организациях, нуждающихся в подвозе к месту обучения в муниципальные общеобразовательные организации в Московской области - 100%.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в Московской области - 100%.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  - 100%.  Доля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образования, в которых организовано бесплатное горячее питание обучающихся, получающих начальное общее образование, в соответствии со стандартом организации питания обучающихся организаций в Московской области, к общему количеству муниципальных образовательных организаций, расположенных на территории городского округа Домодедово Московской области и осуществляющих обучение по программам начального общего образования - 100%.</t>
  </si>
  <si>
    <t>Доля выпускников текущего года, набравших 220 баллов и более по 3 предметам, к общему количеству выпускников текущего года, сдававших ЕГЭ по 3 и более предметам-  31,1% к 2024 году.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</si>
  <si>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 научной и технологической направленностей - 7 единиц. к 2024 году. 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программам- 0 шт. Количество отремонтированных общеобразовательных организаций- 3шт. к 2024 году. Доля обучающихся во вторую смену - 1,3% к 2024 году.</t>
  </si>
  <si>
    <t>"Приложение № 4 к муниципальной программе городского округа</t>
  </si>
  <si>
    <t xml:space="preserve">Домодедово "Образование", утвержденной постановлением </t>
  </si>
  <si>
    <t>Администрации городского округа Домодедово от 31.10.2019  № 2284"</t>
  </si>
  <si>
    <t>от 09.06.2021 № 1179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</si>
</sst>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2" fontId="1" fillId="0" borderId="0" xfId="43" applyFont="1" applyAlignment="1">
      <alignment/>
    </xf>
    <xf numFmtId="4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4" fontId="4" fillId="0" borderId="10" xfId="43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9" fillId="0" borderId="10" xfId="0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75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49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" fontId="49" fillId="0" borderId="11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49" fillId="0" borderId="11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49" fontId="49" fillId="0" borderId="12" xfId="0" applyNumberFormat="1" applyFont="1" applyFill="1" applyBorder="1" applyAlignment="1">
      <alignment horizontal="center" vertical="top" wrapText="1"/>
    </xf>
    <xf numFmtId="49" fontId="49" fillId="0" borderId="13" xfId="0" applyNumberFormat="1" applyFont="1" applyFill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6" fontId="49" fillId="0" borderId="11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4" fillId="0" borderId="11" xfId="43" applyFont="1" applyFill="1" applyBorder="1" applyAlignment="1">
      <alignment horizontal="left" vertical="top" wrapText="1"/>
    </xf>
    <xf numFmtId="172" fontId="4" fillId="0" borderId="12" xfId="43" applyFont="1" applyFill="1" applyBorder="1" applyAlignment="1">
      <alignment horizontal="left" vertical="top" wrapText="1"/>
    </xf>
    <xf numFmtId="172" fontId="4" fillId="0" borderId="13" xfId="43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72" fontId="4" fillId="0" borderId="11" xfId="43" applyFont="1" applyFill="1" applyBorder="1" applyAlignment="1">
      <alignment horizontal="center" vertical="top" wrapText="1"/>
    </xf>
    <xf numFmtId="172" fontId="4" fillId="0" borderId="12" xfId="43" applyFont="1" applyFill="1" applyBorder="1" applyAlignment="1">
      <alignment horizontal="center" vertical="top" wrapText="1"/>
    </xf>
    <xf numFmtId="172" fontId="4" fillId="0" borderId="13" xfId="43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1"/>
  <sheetViews>
    <sheetView zoomScaleSheetLayoutView="100" workbookViewId="0" topLeftCell="A85">
      <selection activeCell="J6" sqref="J6:M6"/>
    </sheetView>
  </sheetViews>
  <sheetFormatPr defaultColWidth="9.00390625" defaultRowHeight="15"/>
  <cols>
    <col min="1" max="1" width="8.00390625" style="5" customWidth="1"/>
    <col min="2" max="2" width="15.57421875" style="0" customWidth="1"/>
    <col min="3" max="3" width="10.140625" style="0" customWidth="1"/>
    <col min="4" max="4" width="11.00390625" style="0" customWidth="1"/>
    <col min="5" max="5" width="10.140625" style="0" customWidth="1"/>
    <col min="6" max="6" width="10.421875" style="0" customWidth="1"/>
    <col min="7" max="7" width="10.00390625" style="0" bestFit="1" customWidth="1"/>
    <col min="8" max="8" width="10.00390625" style="21" customWidth="1"/>
    <col min="9" max="9" width="10.140625" style="8" customWidth="1"/>
    <col min="10" max="10" width="9.8515625" style="14" bestFit="1" customWidth="1"/>
    <col min="11" max="11" width="9.8515625" style="0" customWidth="1"/>
    <col min="12" max="12" width="10.8515625" style="0" customWidth="1"/>
    <col min="13" max="13" width="25.28125" style="0" customWidth="1"/>
  </cols>
  <sheetData>
    <row r="1" spans="1:13" ht="26.25" customHeight="1">
      <c r="A1" s="23"/>
      <c r="B1" s="8"/>
      <c r="C1" s="8"/>
      <c r="D1" s="8"/>
      <c r="E1" s="8"/>
      <c r="F1" s="8"/>
      <c r="G1" s="8"/>
      <c r="H1" s="8"/>
      <c r="J1" s="79" t="s">
        <v>100</v>
      </c>
      <c r="K1" s="85"/>
      <c r="L1" s="85"/>
      <c r="M1" s="85"/>
    </row>
    <row r="2" spans="1:13" ht="15.75" customHeight="1">
      <c r="A2" s="23"/>
      <c r="B2" s="8"/>
      <c r="C2" s="8"/>
      <c r="D2" s="8"/>
      <c r="E2" s="8"/>
      <c r="F2" s="8"/>
      <c r="G2" s="8"/>
      <c r="H2" s="8"/>
      <c r="J2" s="34" t="s">
        <v>94</v>
      </c>
      <c r="K2" s="52"/>
      <c r="L2" s="25"/>
      <c r="M2" s="25"/>
    </row>
    <row r="3" spans="1:13" ht="15" customHeight="1" hidden="1">
      <c r="A3" s="23"/>
      <c r="B3" s="8"/>
      <c r="C3" s="8"/>
      <c r="D3" s="8"/>
      <c r="E3" s="8"/>
      <c r="F3" s="8"/>
      <c r="G3" s="8"/>
      <c r="H3" s="8"/>
      <c r="J3" s="24"/>
      <c r="K3" s="24"/>
      <c r="L3" s="24"/>
      <c r="M3" s="24"/>
    </row>
    <row r="4" spans="1:13" ht="18" customHeight="1" hidden="1">
      <c r="A4" s="23"/>
      <c r="B4" s="8"/>
      <c r="C4" s="8"/>
      <c r="D4" s="8"/>
      <c r="E4" s="8"/>
      <c r="F4" s="8"/>
      <c r="G4" s="8"/>
      <c r="H4" s="8"/>
      <c r="J4" s="34"/>
      <c r="K4" s="34"/>
      <c r="L4" s="34"/>
      <c r="M4" s="34"/>
    </row>
    <row r="5" spans="1:13" ht="13.5" customHeight="1" hidden="1">
      <c r="A5" s="23"/>
      <c r="B5" s="8"/>
      <c r="C5" s="8"/>
      <c r="D5" s="8"/>
      <c r="E5" s="8"/>
      <c r="F5" s="8"/>
      <c r="G5" s="8"/>
      <c r="H5" s="8"/>
      <c r="J5" s="79"/>
      <c r="K5" s="79"/>
      <c r="L5" s="79"/>
      <c r="M5" s="79"/>
    </row>
    <row r="6" spans="1:13" ht="16.5" customHeight="1">
      <c r="A6" s="23"/>
      <c r="B6" s="8"/>
      <c r="C6" s="8"/>
      <c r="D6" s="8"/>
      <c r="E6" s="8"/>
      <c r="F6" s="8"/>
      <c r="G6" s="8"/>
      <c r="H6" s="8"/>
      <c r="J6" s="79" t="s">
        <v>184</v>
      </c>
      <c r="K6" s="92"/>
      <c r="L6" s="92"/>
      <c r="M6" s="92"/>
    </row>
    <row r="7" spans="1:13" ht="15">
      <c r="A7" s="23"/>
      <c r="B7" s="8"/>
      <c r="C7" s="8"/>
      <c r="D7" s="8"/>
      <c r="E7" s="8"/>
      <c r="F7" s="8"/>
      <c r="G7" s="8"/>
      <c r="H7" s="8"/>
      <c r="J7" s="79" t="s">
        <v>181</v>
      </c>
      <c r="K7" s="79"/>
      <c r="L7" s="79"/>
      <c r="M7" s="79"/>
    </row>
    <row r="8" spans="1:13" ht="14.25" customHeight="1">
      <c r="A8" s="23"/>
      <c r="B8" s="8"/>
      <c r="C8" s="8"/>
      <c r="D8" s="8"/>
      <c r="E8" s="8"/>
      <c r="F8" s="8"/>
      <c r="G8" s="8"/>
      <c r="H8" s="8"/>
      <c r="J8" s="34" t="s">
        <v>182</v>
      </c>
      <c r="K8" s="34"/>
      <c r="L8" s="34"/>
      <c r="M8" s="34"/>
    </row>
    <row r="9" spans="1:13" ht="15" hidden="1">
      <c r="A9" s="23"/>
      <c r="B9" s="8"/>
      <c r="C9" s="8"/>
      <c r="D9" s="8"/>
      <c r="E9" s="8"/>
      <c r="F9" s="8"/>
      <c r="G9" s="8"/>
      <c r="H9" s="8"/>
      <c r="J9" s="40"/>
      <c r="K9" s="40"/>
      <c r="L9" s="40"/>
      <c r="M9" s="40"/>
    </row>
    <row r="10" spans="1:13" ht="16.5" customHeight="1">
      <c r="A10" s="23"/>
      <c r="B10" s="8"/>
      <c r="C10" s="8"/>
      <c r="D10" s="8"/>
      <c r="E10" s="8"/>
      <c r="F10" s="8"/>
      <c r="G10" s="8"/>
      <c r="H10" s="8"/>
      <c r="J10" s="79" t="s">
        <v>183</v>
      </c>
      <c r="K10" s="79"/>
      <c r="L10" s="79"/>
      <c r="M10" s="79"/>
    </row>
    <row r="11" spans="1:13" ht="15">
      <c r="A11" s="23"/>
      <c r="B11" s="8"/>
      <c r="C11" s="8"/>
      <c r="D11" s="8"/>
      <c r="E11" s="8"/>
      <c r="F11" s="8"/>
      <c r="G11" s="8"/>
      <c r="H11" s="8"/>
      <c r="J11" s="39"/>
      <c r="K11" s="39"/>
      <c r="L11" s="39"/>
      <c r="M11" s="39"/>
    </row>
    <row r="12" spans="1:13" ht="15.75" customHeight="1">
      <c r="A12" s="82" t="s">
        <v>51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61.5" customHeight="1">
      <c r="A13" s="62" t="s">
        <v>2</v>
      </c>
      <c r="B13" s="62" t="s">
        <v>36</v>
      </c>
      <c r="C13" s="96" t="s">
        <v>39</v>
      </c>
      <c r="D13" s="62" t="s">
        <v>3</v>
      </c>
      <c r="E13" s="96" t="s">
        <v>38</v>
      </c>
      <c r="F13" s="62" t="s">
        <v>4</v>
      </c>
      <c r="G13" s="62" t="s">
        <v>5</v>
      </c>
      <c r="H13" s="62"/>
      <c r="I13" s="62"/>
      <c r="J13" s="62"/>
      <c r="K13" s="62"/>
      <c r="L13" s="62" t="s">
        <v>6</v>
      </c>
      <c r="M13" s="62" t="s">
        <v>37</v>
      </c>
    </row>
    <row r="14" spans="1:13" ht="97.5" customHeight="1">
      <c r="A14" s="62"/>
      <c r="B14" s="62"/>
      <c r="C14" s="97"/>
      <c r="D14" s="62"/>
      <c r="E14" s="97"/>
      <c r="F14" s="62"/>
      <c r="G14" s="7" t="s">
        <v>72</v>
      </c>
      <c r="H14" s="7" t="s">
        <v>73</v>
      </c>
      <c r="I14" s="7" t="s">
        <v>74</v>
      </c>
      <c r="J14" s="7" t="s">
        <v>75</v>
      </c>
      <c r="K14" s="7" t="s">
        <v>76</v>
      </c>
      <c r="L14" s="62"/>
      <c r="M14" s="62"/>
    </row>
    <row r="15" spans="1:13" ht="1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</row>
    <row r="16" spans="1:13" ht="15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4.75" customHeight="1">
      <c r="A17" s="90" t="s">
        <v>24</v>
      </c>
      <c r="B17" s="66" t="s">
        <v>119</v>
      </c>
      <c r="C17" s="18" t="s">
        <v>44</v>
      </c>
      <c r="D17" s="2" t="s">
        <v>7</v>
      </c>
      <c r="E17" s="13">
        <f aca="true" t="shared" si="0" ref="E17:K17">E18+E19+E20+E21</f>
        <v>550</v>
      </c>
      <c r="F17" s="19">
        <f>F18+F19+F20+F21</f>
        <v>2967</v>
      </c>
      <c r="G17" s="19">
        <f t="shared" si="0"/>
        <v>467</v>
      </c>
      <c r="H17" s="19">
        <f t="shared" si="0"/>
        <v>2500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72" t="s">
        <v>15</v>
      </c>
      <c r="M17" s="88" t="s">
        <v>67</v>
      </c>
    </row>
    <row r="18" spans="1:13" ht="40.5" customHeight="1">
      <c r="A18" s="91"/>
      <c r="B18" s="78"/>
      <c r="C18" s="18" t="s">
        <v>44</v>
      </c>
      <c r="D18" s="2" t="s">
        <v>9</v>
      </c>
      <c r="E18" s="3">
        <f>E23+E28</f>
        <v>0</v>
      </c>
      <c r="F18" s="19">
        <f>G18+H18+I18+J18+K18</f>
        <v>0</v>
      </c>
      <c r="G18" s="16">
        <f>G23+G28</f>
        <v>0</v>
      </c>
      <c r="H18" s="16">
        <f>H23+H28</f>
        <v>0</v>
      </c>
      <c r="I18" s="16">
        <f>I23+I28</f>
        <v>0</v>
      </c>
      <c r="J18" s="16">
        <f>J23+J28</f>
        <v>0</v>
      </c>
      <c r="K18" s="16">
        <f>K23+K28</f>
        <v>0</v>
      </c>
      <c r="L18" s="72"/>
      <c r="M18" s="89"/>
    </row>
    <row r="19" spans="1:13" ht="35.25" customHeight="1">
      <c r="A19" s="91"/>
      <c r="B19" s="78"/>
      <c r="C19" s="18" t="s">
        <v>44</v>
      </c>
      <c r="D19" s="2" t="s">
        <v>10</v>
      </c>
      <c r="E19" s="3">
        <f>E24+E29</f>
        <v>500</v>
      </c>
      <c r="F19" s="19">
        <f>G19+H19+I19+J19+K19</f>
        <v>0</v>
      </c>
      <c r="G19" s="16">
        <f aca="true" t="shared" si="1" ref="G19:K21">G24+G29</f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72"/>
      <c r="M19" s="89"/>
    </row>
    <row r="20" spans="1:13" ht="35.25" customHeight="1">
      <c r="A20" s="91"/>
      <c r="B20" s="78"/>
      <c r="C20" s="18" t="s">
        <v>44</v>
      </c>
      <c r="D20" s="2" t="s">
        <v>11</v>
      </c>
      <c r="E20" s="3">
        <f>E25+E30</f>
        <v>50</v>
      </c>
      <c r="F20" s="19">
        <f>G20+H20+I20+J20+K20</f>
        <v>2967</v>
      </c>
      <c r="G20" s="16">
        <f t="shared" si="1"/>
        <v>467</v>
      </c>
      <c r="H20" s="16">
        <f t="shared" si="1"/>
        <v>2500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72"/>
      <c r="M20" s="89"/>
    </row>
    <row r="21" spans="1:13" ht="30" customHeight="1">
      <c r="A21" s="91"/>
      <c r="B21" s="78"/>
      <c r="C21" s="18" t="s">
        <v>44</v>
      </c>
      <c r="D21" s="11" t="s">
        <v>34</v>
      </c>
      <c r="E21" s="3">
        <f>E26+E31</f>
        <v>0</v>
      </c>
      <c r="F21" s="19">
        <f>G21+H21+I21+J21+K21</f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72"/>
      <c r="M21" s="89"/>
    </row>
    <row r="22" spans="1:13" ht="21" customHeight="1">
      <c r="A22" s="80" t="s">
        <v>89</v>
      </c>
      <c r="B22" s="11" t="s">
        <v>128</v>
      </c>
      <c r="C22" s="18" t="s">
        <v>44</v>
      </c>
      <c r="D22" s="10" t="s">
        <v>7</v>
      </c>
      <c r="E22" s="13">
        <f aca="true" t="shared" si="2" ref="E22:K22">E23+E24+E25+E26</f>
        <v>550</v>
      </c>
      <c r="F22" s="19">
        <f t="shared" si="2"/>
        <v>0</v>
      </c>
      <c r="G22" s="16">
        <f t="shared" si="2"/>
        <v>0</v>
      </c>
      <c r="H22" s="19">
        <f t="shared" si="2"/>
        <v>0</v>
      </c>
      <c r="I22" s="19">
        <f t="shared" si="2"/>
        <v>0</v>
      </c>
      <c r="J22" s="9">
        <f t="shared" si="2"/>
        <v>0</v>
      </c>
      <c r="K22" s="9">
        <f t="shared" si="2"/>
        <v>0</v>
      </c>
      <c r="L22" s="72" t="s">
        <v>15</v>
      </c>
      <c r="M22" s="72"/>
    </row>
    <row r="23" spans="1:13" ht="37.5" customHeight="1">
      <c r="A23" s="80"/>
      <c r="B23" s="78" t="s">
        <v>87</v>
      </c>
      <c r="C23" s="18" t="s">
        <v>44</v>
      </c>
      <c r="D23" s="10" t="s">
        <v>9</v>
      </c>
      <c r="E23" s="3">
        <v>0</v>
      </c>
      <c r="F23" s="19">
        <f>G23+H23+I23+J23+K23</f>
        <v>0</v>
      </c>
      <c r="G23" s="16">
        <v>0</v>
      </c>
      <c r="H23" s="19">
        <v>0</v>
      </c>
      <c r="I23" s="19">
        <v>0</v>
      </c>
      <c r="J23" s="16">
        <v>0</v>
      </c>
      <c r="K23" s="9">
        <v>0</v>
      </c>
      <c r="L23" s="72"/>
      <c r="M23" s="72"/>
    </row>
    <row r="24" spans="1:13" ht="48">
      <c r="A24" s="80"/>
      <c r="B24" s="78"/>
      <c r="C24" s="18" t="s">
        <v>44</v>
      </c>
      <c r="D24" s="10" t="s">
        <v>10</v>
      </c>
      <c r="E24" s="3">
        <v>500</v>
      </c>
      <c r="F24" s="19">
        <f>G24+H24+I24+J24+K24</f>
        <v>0</v>
      </c>
      <c r="G24" s="16">
        <v>0</v>
      </c>
      <c r="H24" s="19">
        <v>0</v>
      </c>
      <c r="I24" s="19">
        <v>0</v>
      </c>
      <c r="J24" s="16">
        <v>0</v>
      </c>
      <c r="K24" s="9">
        <v>0</v>
      </c>
      <c r="L24" s="72"/>
      <c r="M24" s="72"/>
    </row>
    <row r="25" spans="1:13" ht="60">
      <c r="A25" s="80"/>
      <c r="B25" s="78"/>
      <c r="C25" s="18" t="s">
        <v>44</v>
      </c>
      <c r="D25" s="10" t="s">
        <v>11</v>
      </c>
      <c r="E25" s="3">
        <v>50</v>
      </c>
      <c r="F25" s="19">
        <f>G25+H25+I25+J25+K25</f>
        <v>0</v>
      </c>
      <c r="G25" s="16">
        <v>0</v>
      </c>
      <c r="H25" s="19">
        <v>0</v>
      </c>
      <c r="I25" s="19">
        <v>0</v>
      </c>
      <c r="J25" s="16">
        <v>0</v>
      </c>
      <c r="K25" s="9">
        <v>0</v>
      </c>
      <c r="L25" s="72"/>
      <c r="M25" s="72"/>
    </row>
    <row r="26" spans="1:13" ht="72" customHeight="1">
      <c r="A26" s="80"/>
      <c r="B26" s="81"/>
      <c r="C26" s="18" t="s">
        <v>44</v>
      </c>
      <c r="D26" s="18" t="s">
        <v>34</v>
      </c>
      <c r="E26" s="3">
        <v>0</v>
      </c>
      <c r="F26" s="19">
        <f>G26+H26+I26+J26+K26</f>
        <v>0</v>
      </c>
      <c r="G26" s="16">
        <v>0</v>
      </c>
      <c r="H26" s="19">
        <v>0</v>
      </c>
      <c r="I26" s="19">
        <v>0</v>
      </c>
      <c r="J26" s="16">
        <v>0</v>
      </c>
      <c r="K26" s="9">
        <v>0</v>
      </c>
      <c r="L26" s="72"/>
      <c r="M26" s="72"/>
    </row>
    <row r="27" spans="1:13" ht="24" customHeight="1">
      <c r="A27" s="80" t="s">
        <v>168</v>
      </c>
      <c r="B27" s="11" t="s">
        <v>170</v>
      </c>
      <c r="C27" s="18" t="s">
        <v>44</v>
      </c>
      <c r="D27" s="10" t="s">
        <v>7</v>
      </c>
      <c r="E27" s="13">
        <f aca="true" t="shared" si="3" ref="E27:K27">E28+E29+E30+E31</f>
        <v>0</v>
      </c>
      <c r="F27" s="19">
        <f t="shared" si="3"/>
        <v>2967</v>
      </c>
      <c r="G27" s="16">
        <f t="shared" si="3"/>
        <v>467</v>
      </c>
      <c r="H27" s="19">
        <f t="shared" si="3"/>
        <v>2500</v>
      </c>
      <c r="I27" s="19">
        <f t="shared" si="3"/>
        <v>0</v>
      </c>
      <c r="J27" s="9">
        <f t="shared" si="3"/>
        <v>0</v>
      </c>
      <c r="K27" s="9">
        <f t="shared" si="3"/>
        <v>0</v>
      </c>
      <c r="L27" s="72" t="s">
        <v>15</v>
      </c>
      <c r="M27" s="72"/>
    </row>
    <row r="28" spans="1:13" ht="35.25" customHeight="1">
      <c r="A28" s="80"/>
      <c r="B28" s="78" t="s">
        <v>88</v>
      </c>
      <c r="C28" s="18" t="s">
        <v>44</v>
      </c>
      <c r="D28" s="10" t="s">
        <v>9</v>
      </c>
      <c r="E28" s="3">
        <v>0</v>
      </c>
      <c r="F28" s="19">
        <f>G28+H28+I28+J28+K28</f>
        <v>0</v>
      </c>
      <c r="G28" s="16">
        <v>0</v>
      </c>
      <c r="H28" s="19">
        <v>0</v>
      </c>
      <c r="I28" s="19">
        <v>0</v>
      </c>
      <c r="J28" s="16">
        <v>0</v>
      </c>
      <c r="K28" s="9">
        <v>0</v>
      </c>
      <c r="L28" s="72"/>
      <c r="M28" s="72"/>
    </row>
    <row r="29" spans="1:13" ht="47.25" customHeight="1">
      <c r="A29" s="80"/>
      <c r="B29" s="78"/>
      <c r="C29" s="18" t="s">
        <v>44</v>
      </c>
      <c r="D29" s="10" t="s">
        <v>10</v>
      </c>
      <c r="E29" s="3">
        <v>0</v>
      </c>
      <c r="F29" s="19">
        <f>G29+H29+I29+J29+K29</f>
        <v>0</v>
      </c>
      <c r="G29" s="16">
        <v>0</v>
      </c>
      <c r="H29" s="19">
        <v>0</v>
      </c>
      <c r="I29" s="19">
        <v>0</v>
      </c>
      <c r="J29" s="16">
        <v>0</v>
      </c>
      <c r="K29" s="9">
        <v>0</v>
      </c>
      <c r="L29" s="72"/>
      <c r="M29" s="72"/>
    </row>
    <row r="30" spans="1:13" ht="60.75" customHeight="1">
      <c r="A30" s="80"/>
      <c r="B30" s="78"/>
      <c r="C30" s="18" t="s">
        <v>44</v>
      </c>
      <c r="D30" s="10" t="s">
        <v>11</v>
      </c>
      <c r="E30" s="13">
        <v>0</v>
      </c>
      <c r="F30" s="19">
        <f>G30+H30+I30+J30+K30</f>
        <v>2967</v>
      </c>
      <c r="G30" s="16">
        <f>550-83</f>
        <v>467</v>
      </c>
      <c r="H30" s="19">
        <v>2500</v>
      </c>
      <c r="I30" s="19">
        <v>0</v>
      </c>
      <c r="J30" s="19">
        <v>0</v>
      </c>
      <c r="K30" s="19">
        <v>0</v>
      </c>
      <c r="L30" s="72"/>
      <c r="M30" s="72"/>
    </row>
    <row r="31" spans="1:13" ht="25.5" customHeight="1">
      <c r="A31" s="80"/>
      <c r="B31" s="81"/>
      <c r="C31" s="18" t="s">
        <v>44</v>
      </c>
      <c r="D31" s="10" t="s">
        <v>34</v>
      </c>
      <c r="E31" s="3">
        <v>0</v>
      </c>
      <c r="F31" s="19">
        <f>G31+H31+I31+J31+K31</f>
        <v>0</v>
      </c>
      <c r="G31" s="16">
        <v>0</v>
      </c>
      <c r="H31" s="19">
        <v>0</v>
      </c>
      <c r="I31" s="19">
        <v>0</v>
      </c>
      <c r="J31" s="19">
        <v>0</v>
      </c>
      <c r="K31" s="19">
        <v>0</v>
      </c>
      <c r="L31" s="72"/>
      <c r="M31" s="72"/>
    </row>
    <row r="32" spans="1:13" ht="15.75" customHeight="1">
      <c r="A32" s="90" t="s">
        <v>26</v>
      </c>
      <c r="B32" s="66" t="s">
        <v>114</v>
      </c>
      <c r="C32" s="18" t="s">
        <v>44</v>
      </c>
      <c r="D32" s="2" t="s">
        <v>7</v>
      </c>
      <c r="E32" s="13">
        <f>E33+E34+E35+E36</f>
        <v>1571598.2</v>
      </c>
      <c r="F32" s="19">
        <f aca="true" t="shared" si="4" ref="F32:K32">F33+F34+F35+F36</f>
        <v>7951180.24</v>
      </c>
      <c r="G32" s="16">
        <f t="shared" si="4"/>
        <v>1639634.04</v>
      </c>
      <c r="H32" s="19">
        <f t="shared" si="4"/>
        <v>1519891</v>
      </c>
      <c r="I32" s="19">
        <f t="shared" si="4"/>
        <v>1597218.4</v>
      </c>
      <c r="J32" s="16">
        <f t="shared" si="4"/>
        <v>1597218.4</v>
      </c>
      <c r="K32" s="9">
        <f t="shared" si="4"/>
        <v>1597218.4</v>
      </c>
      <c r="L32" s="72" t="s">
        <v>14</v>
      </c>
      <c r="M32" s="66" t="s">
        <v>164</v>
      </c>
    </row>
    <row r="33" spans="1:13" ht="39" customHeight="1">
      <c r="A33" s="103"/>
      <c r="B33" s="99"/>
      <c r="C33" s="18" t="s">
        <v>44</v>
      </c>
      <c r="D33" s="2" t="s">
        <v>9</v>
      </c>
      <c r="E33" s="3">
        <f aca="true" t="shared" si="5" ref="E33:K33">E43+E48+E53+E58+E63+E38+E68</f>
        <v>0</v>
      </c>
      <c r="F33" s="3">
        <f>F43+F48+F53+F58+F63+F38+F68</f>
        <v>0</v>
      </c>
      <c r="G33" s="3">
        <f t="shared" si="5"/>
        <v>0</v>
      </c>
      <c r="H33" s="3">
        <f t="shared" si="5"/>
        <v>0</v>
      </c>
      <c r="I33" s="3">
        <f t="shared" si="5"/>
        <v>0</v>
      </c>
      <c r="J33" s="3">
        <f t="shared" si="5"/>
        <v>0</v>
      </c>
      <c r="K33" s="3">
        <f t="shared" si="5"/>
        <v>0</v>
      </c>
      <c r="L33" s="72"/>
      <c r="M33" s="78"/>
    </row>
    <row r="34" spans="1:13" ht="48">
      <c r="A34" s="103"/>
      <c r="B34" s="99"/>
      <c r="C34" s="18" t="s">
        <v>44</v>
      </c>
      <c r="D34" s="2" t="s">
        <v>10</v>
      </c>
      <c r="E34" s="3">
        <f aca="true" t="shared" si="6" ref="E34:K36">E44+E49+E54+E59+E64+E39+E69</f>
        <v>974333</v>
      </c>
      <c r="F34" s="3">
        <f>F44+F49+F54+F59+F64+F39+F69</f>
        <v>5291182</v>
      </c>
      <c r="G34" s="3">
        <f t="shared" si="6"/>
        <v>1084163</v>
      </c>
      <c r="H34" s="3">
        <f t="shared" si="6"/>
        <v>984311</v>
      </c>
      <c r="I34" s="3">
        <f t="shared" si="6"/>
        <v>1074236</v>
      </c>
      <c r="J34" s="3">
        <f t="shared" si="6"/>
        <v>1074236</v>
      </c>
      <c r="K34" s="3">
        <f t="shared" si="6"/>
        <v>1074236</v>
      </c>
      <c r="L34" s="72"/>
      <c r="M34" s="78"/>
    </row>
    <row r="35" spans="1:13" ht="51" customHeight="1">
      <c r="A35" s="103"/>
      <c r="B35" s="99"/>
      <c r="C35" s="18" t="s">
        <v>44</v>
      </c>
      <c r="D35" s="2" t="s">
        <v>11</v>
      </c>
      <c r="E35" s="3">
        <f t="shared" si="6"/>
        <v>435903.5</v>
      </c>
      <c r="F35" s="3">
        <f>F45+F50+F55+F60+F65+F40+F70</f>
        <v>1756498.24</v>
      </c>
      <c r="G35" s="3">
        <f t="shared" si="6"/>
        <v>380371.04</v>
      </c>
      <c r="H35" s="3">
        <f>H45+H50+H55+H60+H65+H40+H70</f>
        <v>353480.00000000006</v>
      </c>
      <c r="I35" s="3">
        <f t="shared" si="6"/>
        <v>340882.4</v>
      </c>
      <c r="J35" s="3">
        <f t="shared" si="6"/>
        <v>340882.4</v>
      </c>
      <c r="K35" s="3">
        <f t="shared" si="6"/>
        <v>340882.4</v>
      </c>
      <c r="L35" s="72"/>
      <c r="M35" s="78"/>
    </row>
    <row r="36" spans="1:13" ht="303.75" customHeight="1">
      <c r="A36" s="104"/>
      <c r="B36" s="100"/>
      <c r="C36" s="18" t="s">
        <v>44</v>
      </c>
      <c r="D36" s="18" t="s">
        <v>34</v>
      </c>
      <c r="E36" s="3">
        <f t="shared" si="6"/>
        <v>161361.7</v>
      </c>
      <c r="F36" s="3">
        <f t="shared" si="6"/>
        <v>903500</v>
      </c>
      <c r="G36" s="3">
        <f t="shared" si="6"/>
        <v>175100</v>
      </c>
      <c r="H36" s="3">
        <f t="shared" si="6"/>
        <v>182100</v>
      </c>
      <c r="I36" s="3">
        <f t="shared" si="6"/>
        <v>182100</v>
      </c>
      <c r="J36" s="3">
        <f t="shared" si="6"/>
        <v>182100</v>
      </c>
      <c r="K36" s="3">
        <f t="shared" si="6"/>
        <v>182100</v>
      </c>
      <c r="L36" s="72"/>
      <c r="M36" s="81"/>
    </row>
    <row r="37" spans="1:13" ht="25.5" customHeight="1">
      <c r="A37" s="73" t="s">
        <v>175</v>
      </c>
      <c r="B37" s="66" t="s">
        <v>176</v>
      </c>
      <c r="C37" s="18" t="s">
        <v>44</v>
      </c>
      <c r="D37" s="2" t="s">
        <v>7</v>
      </c>
      <c r="E37" s="55">
        <f>E38+E39+E40+E41</f>
        <v>0</v>
      </c>
      <c r="F37" s="55">
        <f aca="true" t="shared" si="7" ref="F37:K37">F38+F39+F40+F41</f>
        <v>3561.77</v>
      </c>
      <c r="G37" s="55">
        <f t="shared" si="7"/>
        <v>0</v>
      </c>
      <c r="H37" s="55">
        <f t="shared" si="7"/>
        <v>3561.77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72" t="s">
        <v>14</v>
      </c>
      <c r="M37" s="66"/>
    </row>
    <row r="38" spans="1:13" ht="39" customHeight="1">
      <c r="A38" s="74"/>
      <c r="B38" s="76"/>
      <c r="C38" s="18" t="s">
        <v>44</v>
      </c>
      <c r="D38" s="2" t="s">
        <v>9</v>
      </c>
      <c r="E38" s="56">
        <f>F38+G38+H38+I38+J38+K38</f>
        <v>0</v>
      </c>
      <c r="F38" s="57">
        <f>G38+H38+I38+J38+K38</f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72"/>
      <c r="M38" s="70"/>
    </row>
    <row r="39" spans="1:13" ht="49.5" customHeight="1">
      <c r="A39" s="74"/>
      <c r="B39" s="76"/>
      <c r="C39" s="18" t="s">
        <v>44</v>
      </c>
      <c r="D39" s="2" t="s">
        <v>10</v>
      </c>
      <c r="E39" s="56">
        <f>F39+G39+H39+I39+J39+K39</f>
        <v>0</v>
      </c>
      <c r="F39" s="57">
        <f>G39+H39+I39+J39+K39</f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72"/>
      <c r="M39" s="70"/>
    </row>
    <row r="40" spans="1:13" ht="63" customHeight="1">
      <c r="A40" s="74"/>
      <c r="B40" s="76"/>
      <c r="C40" s="18" t="s">
        <v>44</v>
      </c>
      <c r="D40" s="2" t="s">
        <v>11</v>
      </c>
      <c r="E40" s="56">
        <v>0</v>
      </c>
      <c r="F40" s="57">
        <f>G40+H40+I40+J40+K40</f>
        <v>3561.77</v>
      </c>
      <c r="G40" s="58">
        <v>0</v>
      </c>
      <c r="H40" s="59">
        <f>5200-1638.23</f>
        <v>3561.77</v>
      </c>
      <c r="I40" s="58">
        <v>0</v>
      </c>
      <c r="J40" s="58">
        <v>0</v>
      </c>
      <c r="K40" s="58">
        <v>0</v>
      </c>
      <c r="L40" s="72"/>
      <c r="M40" s="70"/>
    </row>
    <row r="41" spans="1:13" ht="31.5" customHeight="1">
      <c r="A41" s="75"/>
      <c r="B41" s="77"/>
      <c r="C41" s="18" t="s">
        <v>44</v>
      </c>
      <c r="D41" s="18" t="s">
        <v>34</v>
      </c>
      <c r="E41" s="56">
        <f>F41+G41+H41+I41+J41+K41</f>
        <v>0</v>
      </c>
      <c r="F41" s="57">
        <f>G41+H41+I41+J41+K41</f>
        <v>0</v>
      </c>
      <c r="G41" s="58">
        <v>0</v>
      </c>
      <c r="H41" s="59">
        <v>0</v>
      </c>
      <c r="I41" s="58">
        <v>0</v>
      </c>
      <c r="J41" s="58">
        <v>0</v>
      </c>
      <c r="K41" s="58">
        <v>0</v>
      </c>
      <c r="L41" s="72"/>
      <c r="M41" s="71"/>
    </row>
    <row r="42" spans="1:13" ht="24.75" customHeight="1">
      <c r="A42" s="90" t="s">
        <v>90</v>
      </c>
      <c r="B42" s="66" t="s">
        <v>129</v>
      </c>
      <c r="C42" s="18" t="s">
        <v>44</v>
      </c>
      <c r="D42" s="2" t="s">
        <v>7</v>
      </c>
      <c r="E42" s="3">
        <f>E43+E44+E45+E46</f>
        <v>899595</v>
      </c>
      <c r="F42" s="3">
        <f aca="true" t="shared" si="8" ref="F42:K42">F43+F44+F45+F46</f>
        <v>5000243</v>
      </c>
      <c r="G42" s="3">
        <f t="shared" si="8"/>
        <v>1041328</v>
      </c>
      <c r="H42" s="60">
        <f t="shared" si="8"/>
        <v>922285</v>
      </c>
      <c r="I42" s="3">
        <f t="shared" si="8"/>
        <v>1012210</v>
      </c>
      <c r="J42" s="3">
        <f t="shared" si="8"/>
        <v>1012210</v>
      </c>
      <c r="K42" s="3">
        <f t="shared" si="8"/>
        <v>1012210</v>
      </c>
      <c r="L42" s="72" t="s">
        <v>14</v>
      </c>
      <c r="M42" s="88"/>
    </row>
    <row r="43" spans="1:13" ht="40.5" customHeight="1">
      <c r="A43" s="105"/>
      <c r="B43" s="70"/>
      <c r="C43" s="18" t="s">
        <v>44</v>
      </c>
      <c r="D43" s="2" t="s">
        <v>9</v>
      </c>
      <c r="E43" s="3">
        <v>0</v>
      </c>
      <c r="F43" s="19">
        <f>G43+H43+I43+J43+K43</f>
        <v>0</v>
      </c>
      <c r="G43" s="9">
        <v>0</v>
      </c>
      <c r="H43" s="61">
        <v>0</v>
      </c>
      <c r="I43" s="19">
        <v>0</v>
      </c>
      <c r="J43" s="16">
        <v>0</v>
      </c>
      <c r="K43" s="9">
        <v>0</v>
      </c>
      <c r="L43" s="72"/>
      <c r="M43" s="70"/>
    </row>
    <row r="44" spans="1:13" ht="52.5" customHeight="1">
      <c r="A44" s="105"/>
      <c r="B44" s="70"/>
      <c r="C44" s="18" t="s">
        <v>44</v>
      </c>
      <c r="D44" s="2" t="s">
        <v>10</v>
      </c>
      <c r="E44" s="3">
        <v>899595</v>
      </c>
      <c r="F44" s="19">
        <f>G44+H44+I44+J44+K44</f>
        <v>4926638</v>
      </c>
      <c r="G44" s="19">
        <f>1026623+1100</f>
        <v>1027723</v>
      </c>
      <c r="H44" s="61">
        <f>979893+17317-89925</f>
        <v>907285</v>
      </c>
      <c r="I44" s="19">
        <f>979893+17317</f>
        <v>997210</v>
      </c>
      <c r="J44" s="19">
        <f>979893+17317</f>
        <v>997210</v>
      </c>
      <c r="K44" s="19">
        <f>979893+17317</f>
        <v>997210</v>
      </c>
      <c r="L44" s="72"/>
      <c r="M44" s="70"/>
    </row>
    <row r="45" spans="1:13" ht="61.5" customHeight="1">
      <c r="A45" s="105"/>
      <c r="B45" s="70"/>
      <c r="C45" s="18" t="s">
        <v>44</v>
      </c>
      <c r="D45" s="2" t="s">
        <v>11</v>
      </c>
      <c r="E45" s="3">
        <v>0</v>
      </c>
      <c r="F45" s="19">
        <f>G45+H45+I45+J45+K45</f>
        <v>605</v>
      </c>
      <c r="G45" s="19">
        <v>605</v>
      </c>
      <c r="H45" s="19">
        <v>0</v>
      </c>
      <c r="I45" s="19">
        <v>0</v>
      </c>
      <c r="J45" s="19">
        <v>0</v>
      </c>
      <c r="K45" s="19">
        <v>0</v>
      </c>
      <c r="L45" s="72"/>
      <c r="M45" s="70"/>
    </row>
    <row r="46" spans="1:13" ht="192.75" customHeight="1">
      <c r="A46" s="106"/>
      <c r="B46" s="71"/>
      <c r="C46" s="18" t="s">
        <v>44</v>
      </c>
      <c r="D46" s="18" t="s">
        <v>34</v>
      </c>
      <c r="E46" s="9">
        <v>0</v>
      </c>
      <c r="F46" s="19">
        <f>G46+H46+I46+J46+K46</f>
        <v>73000</v>
      </c>
      <c r="G46" s="9">
        <v>13000</v>
      </c>
      <c r="H46" s="9">
        <v>15000</v>
      </c>
      <c r="I46" s="9">
        <v>15000</v>
      </c>
      <c r="J46" s="9">
        <v>15000</v>
      </c>
      <c r="K46" s="9">
        <v>15000</v>
      </c>
      <c r="L46" s="72"/>
      <c r="M46" s="71"/>
    </row>
    <row r="47" spans="1:13" ht="24.75" customHeight="1">
      <c r="A47" s="90" t="s">
        <v>27</v>
      </c>
      <c r="B47" s="66" t="s">
        <v>130</v>
      </c>
      <c r="C47" s="18" t="s">
        <v>44</v>
      </c>
      <c r="D47" s="2" t="s">
        <v>7</v>
      </c>
      <c r="E47" s="3">
        <f>E48+E49+E50+E51</f>
        <v>6926</v>
      </c>
      <c r="F47" s="3">
        <f aca="true" t="shared" si="9" ref="F47:K47">F48+F49+F50+F51</f>
        <v>28262</v>
      </c>
      <c r="G47" s="3">
        <f t="shared" si="9"/>
        <v>5974</v>
      </c>
      <c r="H47" s="3">
        <f t="shared" si="9"/>
        <v>5572</v>
      </c>
      <c r="I47" s="3">
        <f t="shared" si="9"/>
        <v>5572</v>
      </c>
      <c r="J47" s="3">
        <f t="shared" si="9"/>
        <v>5572</v>
      </c>
      <c r="K47" s="3">
        <f t="shared" si="9"/>
        <v>5572</v>
      </c>
      <c r="L47" s="72" t="s">
        <v>14</v>
      </c>
      <c r="M47" s="88"/>
    </row>
    <row r="48" spans="1:13" ht="37.5" customHeight="1">
      <c r="A48" s="105"/>
      <c r="B48" s="70"/>
      <c r="C48" s="18" t="s">
        <v>44</v>
      </c>
      <c r="D48" s="2" t="s">
        <v>9</v>
      </c>
      <c r="E48" s="3">
        <v>0</v>
      </c>
      <c r="F48" s="19">
        <f>G48+H48+I48+J48+K48</f>
        <v>0</v>
      </c>
      <c r="G48" s="9">
        <v>0</v>
      </c>
      <c r="H48" s="19">
        <v>0</v>
      </c>
      <c r="I48" s="19">
        <v>0</v>
      </c>
      <c r="J48" s="16">
        <v>0</v>
      </c>
      <c r="K48" s="9">
        <v>0</v>
      </c>
      <c r="L48" s="72"/>
      <c r="M48" s="70"/>
    </row>
    <row r="49" spans="1:13" ht="50.25" customHeight="1">
      <c r="A49" s="105"/>
      <c r="B49" s="70"/>
      <c r="C49" s="18" t="s">
        <v>44</v>
      </c>
      <c r="D49" s="2" t="s">
        <v>10</v>
      </c>
      <c r="E49" s="3">
        <v>6926</v>
      </c>
      <c r="F49" s="19">
        <f>G49+H49+I49+J49+K49</f>
        <v>28262</v>
      </c>
      <c r="G49" s="19">
        <f>5300+674</f>
        <v>5974</v>
      </c>
      <c r="H49" s="19">
        <f>5636-64</f>
        <v>5572</v>
      </c>
      <c r="I49" s="19">
        <f>5636-64</f>
        <v>5572</v>
      </c>
      <c r="J49" s="19">
        <f>5636-64</f>
        <v>5572</v>
      </c>
      <c r="K49" s="19">
        <f>5636-64</f>
        <v>5572</v>
      </c>
      <c r="L49" s="72"/>
      <c r="M49" s="70"/>
    </row>
    <row r="50" spans="1:13" ht="63.75" customHeight="1">
      <c r="A50" s="105"/>
      <c r="B50" s="70"/>
      <c r="C50" s="18" t="s">
        <v>44</v>
      </c>
      <c r="D50" s="2" t="s">
        <v>11</v>
      </c>
      <c r="E50" s="3">
        <v>0</v>
      </c>
      <c r="F50" s="19">
        <f>G50+H50+I50+J50+K50</f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72"/>
      <c r="M50" s="70"/>
    </row>
    <row r="51" spans="1:13" ht="140.25" customHeight="1">
      <c r="A51" s="106"/>
      <c r="B51" s="71"/>
      <c r="C51" s="18" t="s">
        <v>44</v>
      </c>
      <c r="D51" s="18" t="s">
        <v>34</v>
      </c>
      <c r="E51" s="3">
        <v>0</v>
      </c>
      <c r="F51" s="19">
        <f>G51+H51+I51+J51+K51</f>
        <v>0</v>
      </c>
      <c r="G51" s="9">
        <v>0</v>
      </c>
      <c r="H51" s="19">
        <v>0</v>
      </c>
      <c r="I51" s="19">
        <v>0</v>
      </c>
      <c r="J51" s="16">
        <v>0</v>
      </c>
      <c r="K51" s="9">
        <v>0</v>
      </c>
      <c r="L51" s="72"/>
      <c r="M51" s="71"/>
    </row>
    <row r="52" spans="1:13" ht="29.25" customHeight="1">
      <c r="A52" s="108" t="s">
        <v>49</v>
      </c>
      <c r="B52" s="109" t="s">
        <v>158</v>
      </c>
      <c r="C52" s="18" t="s">
        <v>44</v>
      </c>
      <c r="D52" s="2" t="s">
        <v>7</v>
      </c>
      <c r="E52" s="3">
        <f>E53+E54+E55+E56</f>
        <v>67812</v>
      </c>
      <c r="F52" s="3">
        <f aca="true" t="shared" si="10" ref="F52:K52">F53+F54+F55+F56</f>
        <v>337624.6</v>
      </c>
      <c r="G52" s="54">
        <f t="shared" si="10"/>
        <v>50819</v>
      </c>
      <c r="H52" s="54">
        <f t="shared" si="10"/>
        <v>71701.4</v>
      </c>
      <c r="I52" s="54">
        <f t="shared" si="10"/>
        <v>71701.4</v>
      </c>
      <c r="J52" s="54">
        <f t="shared" si="10"/>
        <v>71701.4</v>
      </c>
      <c r="K52" s="54">
        <f t="shared" si="10"/>
        <v>71701.4</v>
      </c>
      <c r="L52" s="72" t="s">
        <v>46</v>
      </c>
      <c r="M52" s="88"/>
    </row>
    <row r="53" spans="1:13" ht="39.75" customHeight="1">
      <c r="A53" s="74"/>
      <c r="B53" s="76"/>
      <c r="C53" s="18" t="s">
        <v>44</v>
      </c>
      <c r="D53" s="2" t="s">
        <v>9</v>
      </c>
      <c r="E53" s="3">
        <v>0</v>
      </c>
      <c r="F53" s="19">
        <f>G53+H53+I53+J53+K53</f>
        <v>0</v>
      </c>
      <c r="G53" s="9">
        <v>0</v>
      </c>
      <c r="H53" s="19">
        <v>0</v>
      </c>
      <c r="I53" s="19">
        <v>0</v>
      </c>
      <c r="J53" s="16">
        <v>0</v>
      </c>
      <c r="K53" s="9">
        <v>0</v>
      </c>
      <c r="L53" s="72"/>
      <c r="M53" s="70"/>
    </row>
    <row r="54" spans="1:13" ht="49.5" customHeight="1">
      <c r="A54" s="74"/>
      <c r="B54" s="76"/>
      <c r="C54" s="18" t="s">
        <v>44</v>
      </c>
      <c r="D54" s="2" t="s">
        <v>10</v>
      </c>
      <c r="E54" s="3">
        <v>67812</v>
      </c>
      <c r="F54" s="19">
        <f>G54+H54+I54+J54+K54</f>
        <v>336282</v>
      </c>
      <c r="G54" s="19">
        <f>79144+3114-13191-18601</f>
        <v>50466</v>
      </c>
      <c r="H54" s="19">
        <f>68190+3265-1</f>
        <v>71454</v>
      </c>
      <c r="I54" s="19">
        <f>68190+3265-1</f>
        <v>71454</v>
      </c>
      <c r="J54" s="19">
        <f>68190+3265-1</f>
        <v>71454</v>
      </c>
      <c r="K54" s="19">
        <f>68190+3265-1</f>
        <v>71454</v>
      </c>
      <c r="L54" s="72"/>
      <c r="M54" s="70"/>
    </row>
    <row r="55" spans="1:13" ht="61.5" customHeight="1">
      <c r="A55" s="74"/>
      <c r="B55" s="76"/>
      <c r="C55" s="18" t="s">
        <v>44</v>
      </c>
      <c r="D55" s="2" t="s">
        <v>11</v>
      </c>
      <c r="E55" s="9">
        <v>0</v>
      </c>
      <c r="F55" s="19">
        <f>G55+H55+I55+J55+K55</f>
        <v>1342.6000000000001</v>
      </c>
      <c r="G55" s="19">
        <f>353</f>
        <v>353</v>
      </c>
      <c r="H55" s="19">
        <v>247.4</v>
      </c>
      <c r="I55" s="19">
        <v>247.4</v>
      </c>
      <c r="J55" s="19">
        <v>247.4</v>
      </c>
      <c r="K55" s="19">
        <v>247.4</v>
      </c>
      <c r="L55" s="72"/>
      <c r="M55" s="70"/>
    </row>
    <row r="56" spans="1:13" ht="29.25" customHeight="1">
      <c r="A56" s="75"/>
      <c r="B56" s="77"/>
      <c r="C56" s="18" t="s">
        <v>44</v>
      </c>
      <c r="D56" s="18" t="s">
        <v>34</v>
      </c>
      <c r="E56" s="3">
        <v>0</v>
      </c>
      <c r="F56" s="19">
        <f>G56+H56+I56+J56+K56</f>
        <v>0</v>
      </c>
      <c r="G56" s="9">
        <v>0</v>
      </c>
      <c r="H56" s="19">
        <v>0</v>
      </c>
      <c r="I56" s="19">
        <v>0</v>
      </c>
      <c r="J56" s="16">
        <v>0</v>
      </c>
      <c r="K56" s="9">
        <v>0</v>
      </c>
      <c r="L56" s="72"/>
      <c r="M56" s="71"/>
    </row>
    <row r="57" spans="1:13" ht="29.25" customHeight="1">
      <c r="A57" s="63" t="s">
        <v>50</v>
      </c>
      <c r="B57" s="109" t="s">
        <v>131</v>
      </c>
      <c r="C57" s="18" t="s">
        <v>44</v>
      </c>
      <c r="D57" s="2" t="s">
        <v>7</v>
      </c>
      <c r="E57" s="3">
        <f>E58+E59+E60+E61</f>
        <v>597265.2</v>
      </c>
      <c r="F57" s="3">
        <f aca="true" t="shared" si="11" ref="F57:K57">F58+F59+F60+F61</f>
        <v>2403331.91</v>
      </c>
      <c r="G57" s="3">
        <f>G58+G59+G60+G61</f>
        <v>518793.6</v>
      </c>
      <c r="H57" s="3">
        <f>H58+H59+H60+H61</f>
        <v>474337.31</v>
      </c>
      <c r="I57" s="3">
        <f t="shared" si="11"/>
        <v>470067</v>
      </c>
      <c r="J57" s="3">
        <f t="shared" si="11"/>
        <v>470067</v>
      </c>
      <c r="K57" s="3">
        <f t="shared" si="11"/>
        <v>470067</v>
      </c>
      <c r="L57" s="72" t="s">
        <v>14</v>
      </c>
      <c r="M57" s="88"/>
    </row>
    <row r="58" spans="1:13" ht="42" customHeight="1">
      <c r="A58" s="74"/>
      <c r="B58" s="76"/>
      <c r="C58" s="18" t="s">
        <v>44</v>
      </c>
      <c r="D58" s="2" t="s">
        <v>9</v>
      </c>
      <c r="E58" s="3">
        <v>0</v>
      </c>
      <c r="F58" s="19">
        <f>G58+H58+I58+J58+K58</f>
        <v>0</v>
      </c>
      <c r="G58" s="9">
        <v>0</v>
      </c>
      <c r="H58" s="19">
        <v>0</v>
      </c>
      <c r="I58" s="19">
        <v>0</v>
      </c>
      <c r="J58" s="16">
        <v>0</v>
      </c>
      <c r="K58" s="9">
        <v>0</v>
      </c>
      <c r="L58" s="72"/>
      <c r="M58" s="70"/>
    </row>
    <row r="59" spans="1:13" ht="50.25" customHeight="1">
      <c r="A59" s="74"/>
      <c r="B59" s="76"/>
      <c r="C59" s="18" t="s">
        <v>44</v>
      </c>
      <c r="D59" s="2" t="s">
        <v>10</v>
      </c>
      <c r="E59" s="3">
        <v>0</v>
      </c>
      <c r="F59" s="19">
        <f>G59+H59+I59+J59+K59</f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72"/>
      <c r="M59" s="70"/>
    </row>
    <row r="60" spans="1:13" ht="64.5" customHeight="1">
      <c r="A60" s="74"/>
      <c r="B60" s="76"/>
      <c r="C60" s="18" t="s">
        <v>44</v>
      </c>
      <c r="D60" s="2" t="s">
        <v>11</v>
      </c>
      <c r="E60" s="3">
        <v>435903.5</v>
      </c>
      <c r="F60" s="19">
        <f>G60+H60+I60+J60+K60</f>
        <v>1572831.91</v>
      </c>
      <c r="G60" s="19">
        <f>357724+310.46-1200+234.36+3018-157.95-3184+553.73-605</f>
        <v>356693.6</v>
      </c>
      <c r="H60" s="61">
        <f>347253-4831-20539-10696-8043+266.91+1500+728.2+394.5+1700-496.3</f>
        <v>307237.31</v>
      </c>
      <c r="I60" s="19">
        <f>347253+42924-42924-4831-31412-8043</f>
        <v>302967</v>
      </c>
      <c r="J60" s="19">
        <f>347076+42924-42924-4654-31412-8043</f>
        <v>302967</v>
      </c>
      <c r="K60" s="19">
        <f>347076+42924-42924-4654-31412-8043</f>
        <v>302967</v>
      </c>
      <c r="L60" s="72"/>
      <c r="M60" s="70"/>
    </row>
    <row r="61" spans="1:13" ht="29.25" customHeight="1">
      <c r="A61" s="75"/>
      <c r="B61" s="77"/>
      <c r="C61" s="18" t="s">
        <v>44</v>
      </c>
      <c r="D61" s="18" t="s">
        <v>34</v>
      </c>
      <c r="E61" s="3">
        <v>161361.7</v>
      </c>
      <c r="F61" s="19">
        <f>G61+H61+I61+J61+K61</f>
        <v>830500</v>
      </c>
      <c r="G61" s="19">
        <f>167100+15000-20000</f>
        <v>162100</v>
      </c>
      <c r="H61" s="19">
        <f>167100</f>
        <v>167100</v>
      </c>
      <c r="I61" s="19">
        <f>167100</f>
        <v>167100</v>
      </c>
      <c r="J61" s="19">
        <f>167100</f>
        <v>167100</v>
      </c>
      <c r="K61" s="19">
        <f>167100</f>
        <v>167100</v>
      </c>
      <c r="L61" s="72"/>
      <c r="M61" s="71"/>
    </row>
    <row r="62" spans="1:13" ht="24.75" customHeight="1">
      <c r="A62" s="63" t="s">
        <v>91</v>
      </c>
      <c r="B62" s="66" t="s">
        <v>132</v>
      </c>
      <c r="C62" s="18" t="s">
        <v>44</v>
      </c>
      <c r="D62" s="2" t="s">
        <v>7</v>
      </c>
      <c r="E62" s="3">
        <f aca="true" t="shared" si="12" ref="E62:K62">E63+E64+E65+E66</f>
        <v>0</v>
      </c>
      <c r="F62" s="3">
        <f t="shared" si="12"/>
        <v>173208.69</v>
      </c>
      <c r="G62" s="54">
        <f t="shared" si="12"/>
        <v>22719.44</v>
      </c>
      <c r="H62" s="54">
        <f t="shared" si="12"/>
        <v>37485.25</v>
      </c>
      <c r="I62" s="54">
        <f t="shared" si="12"/>
        <v>37668</v>
      </c>
      <c r="J62" s="54">
        <f t="shared" si="12"/>
        <v>37668</v>
      </c>
      <c r="K62" s="54">
        <f t="shared" si="12"/>
        <v>37668</v>
      </c>
      <c r="L62" s="72" t="s">
        <v>14</v>
      </c>
      <c r="M62" s="88"/>
    </row>
    <row r="63" spans="1:13" ht="39" customHeight="1">
      <c r="A63" s="101"/>
      <c r="B63" s="115"/>
      <c r="C63" s="18" t="s">
        <v>44</v>
      </c>
      <c r="D63" s="2" t="s">
        <v>9</v>
      </c>
      <c r="E63" s="3">
        <v>0</v>
      </c>
      <c r="F63" s="19">
        <f>G63+H63+I63+J63+K63</f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72"/>
      <c r="M63" s="70"/>
    </row>
    <row r="64" spans="1:13" ht="49.5" customHeight="1">
      <c r="A64" s="101"/>
      <c r="B64" s="115"/>
      <c r="C64" s="18" t="s">
        <v>44</v>
      </c>
      <c r="D64" s="2" t="s">
        <v>10</v>
      </c>
      <c r="E64" s="3">
        <v>0</v>
      </c>
      <c r="F64" s="19">
        <f>G64+H64+I64+J64+K64</f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72"/>
      <c r="M64" s="70"/>
    </row>
    <row r="65" spans="1:13" ht="62.25" customHeight="1">
      <c r="A65" s="101"/>
      <c r="B65" s="115"/>
      <c r="C65" s="18" t="s">
        <v>44</v>
      </c>
      <c r="D65" s="2" t="s">
        <v>11</v>
      </c>
      <c r="E65" s="3">
        <v>0</v>
      </c>
      <c r="F65" s="19">
        <f>G65+H65+I65+J65+K65</f>
        <v>173208.69</v>
      </c>
      <c r="G65" s="9">
        <f>22338.6+222.84+158</f>
        <v>22719.44</v>
      </c>
      <c r="H65" s="9">
        <f>42924-182.75-5256</f>
        <v>37485.25</v>
      </c>
      <c r="I65" s="9">
        <f>42924-5256</f>
        <v>37668</v>
      </c>
      <c r="J65" s="9">
        <f>42924-5256</f>
        <v>37668</v>
      </c>
      <c r="K65" s="9">
        <f>42924-5256</f>
        <v>37668</v>
      </c>
      <c r="L65" s="72"/>
      <c r="M65" s="70"/>
    </row>
    <row r="66" spans="1:13" ht="27" customHeight="1">
      <c r="A66" s="102"/>
      <c r="B66" s="116"/>
      <c r="C66" s="18" t="s">
        <v>44</v>
      </c>
      <c r="D66" s="18" t="s">
        <v>34</v>
      </c>
      <c r="E66" s="3">
        <v>0</v>
      </c>
      <c r="F66" s="19">
        <f>G66+H66+I66+J66+K66</f>
        <v>0</v>
      </c>
      <c r="G66" s="9">
        <v>0</v>
      </c>
      <c r="H66" s="19">
        <v>0</v>
      </c>
      <c r="I66" s="19">
        <v>0</v>
      </c>
      <c r="J66" s="16">
        <v>0</v>
      </c>
      <c r="K66" s="9">
        <v>0</v>
      </c>
      <c r="L66" s="72"/>
      <c r="M66" s="71"/>
    </row>
    <row r="67" spans="1:13" ht="27" customHeight="1">
      <c r="A67" s="63" t="s">
        <v>174</v>
      </c>
      <c r="B67" s="66" t="s">
        <v>177</v>
      </c>
      <c r="C67" s="18" t="s">
        <v>44</v>
      </c>
      <c r="D67" s="2" t="s">
        <v>7</v>
      </c>
      <c r="E67" s="3">
        <v>0</v>
      </c>
      <c r="F67" s="19">
        <f aca="true" t="shared" si="13" ref="F67:K67">F68+F69+F70+F71</f>
        <v>4948.27</v>
      </c>
      <c r="G67" s="19">
        <f t="shared" si="13"/>
        <v>0</v>
      </c>
      <c r="H67" s="19">
        <f t="shared" si="13"/>
        <v>4948.27</v>
      </c>
      <c r="I67" s="19">
        <f t="shared" si="13"/>
        <v>0</v>
      </c>
      <c r="J67" s="19">
        <f t="shared" si="13"/>
        <v>0</v>
      </c>
      <c r="K67" s="19">
        <f t="shared" si="13"/>
        <v>0</v>
      </c>
      <c r="L67" s="72" t="s">
        <v>14</v>
      </c>
      <c r="M67" s="69"/>
    </row>
    <row r="68" spans="1:13" ht="37.5" customHeight="1">
      <c r="A68" s="64"/>
      <c r="B68" s="67"/>
      <c r="C68" s="18" t="s">
        <v>44</v>
      </c>
      <c r="D68" s="2" t="s">
        <v>9</v>
      </c>
      <c r="E68" s="3">
        <v>0</v>
      </c>
      <c r="F68" s="19">
        <f>G68+H68+I68+J68+K68</f>
        <v>0</v>
      </c>
      <c r="G68" s="9">
        <v>0</v>
      </c>
      <c r="H68" s="19">
        <v>0</v>
      </c>
      <c r="I68" s="19">
        <v>0</v>
      </c>
      <c r="J68" s="16">
        <v>0</v>
      </c>
      <c r="K68" s="9">
        <v>0</v>
      </c>
      <c r="L68" s="72"/>
      <c r="M68" s="70"/>
    </row>
    <row r="69" spans="1:13" ht="47.25" customHeight="1">
      <c r="A69" s="64"/>
      <c r="B69" s="67"/>
      <c r="C69" s="18" t="s">
        <v>44</v>
      </c>
      <c r="D69" s="2" t="s">
        <v>10</v>
      </c>
      <c r="E69" s="3">
        <v>0</v>
      </c>
      <c r="F69" s="19">
        <f>G69+H69+I69+J69+K69</f>
        <v>0</v>
      </c>
      <c r="G69" s="9">
        <v>0</v>
      </c>
      <c r="H69" s="19">
        <v>0</v>
      </c>
      <c r="I69" s="19">
        <v>0</v>
      </c>
      <c r="J69" s="16">
        <v>0</v>
      </c>
      <c r="K69" s="9">
        <v>0</v>
      </c>
      <c r="L69" s="72"/>
      <c r="M69" s="70"/>
    </row>
    <row r="70" spans="1:13" ht="62.25" customHeight="1">
      <c r="A70" s="64"/>
      <c r="B70" s="67"/>
      <c r="C70" s="18" t="s">
        <v>44</v>
      </c>
      <c r="D70" s="2" t="s">
        <v>11</v>
      </c>
      <c r="E70" s="3">
        <v>0</v>
      </c>
      <c r="F70" s="19">
        <f>G70+H70+I70+J70+K70</f>
        <v>4948.27</v>
      </c>
      <c r="G70" s="9">
        <v>0</v>
      </c>
      <c r="H70" s="19">
        <v>4948.27</v>
      </c>
      <c r="I70" s="19">
        <v>0</v>
      </c>
      <c r="J70" s="16">
        <v>0</v>
      </c>
      <c r="K70" s="9">
        <v>0</v>
      </c>
      <c r="L70" s="72"/>
      <c r="M70" s="70"/>
    </row>
    <row r="71" spans="1:13" ht="29.25" customHeight="1">
      <c r="A71" s="65"/>
      <c r="B71" s="68"/>
      <c r="C71" s="18" t="s">
        <v>44</v>
      </c>
      <c r="D71" s="18" t="s">
        <v>34</v>
      </c>
      <c r="E71" s="3">
        <v>0</v>
      </c>
      <c r="F71" s="19">
        <f>G71+H71+I71+J71+K71</f>
        <v>0</v>
      </c>
      <c r="G71" s="9">
        <v>0</v>
      </c>
      <c r="H71" s="19">
        <v>0</v>
      </c>
      <c r="I71" s="19">
        <v>0</v>
      </c>
      <c r="J71" s="16">
        <v>0</v>
      </c>
      <c r="K71" s="9">
        <v>0</v>
      </c>
      <c r="L71" s="72"/>
      <c r="M71" s="71"/>
    </row>
    <row r="72" spans="1:13" ht="24.75" customHeight="1">
      <c r="A72" s="93" t="s">
        <v>28</v>
      </c>
      <c r="B72" s="112" t="s">
        <v>172</v>
      </c>
      <c r="C72" s="18" t="s">
        <v>44</v>
      </c>
      <c r="D72" s="2" t="s">
        <v>7</v>
      </c>
      <c r="E72" s="3">
        <f>E73+E74+E75+E76</f>
        <v>0</v>
      </c>
      <c r="F72" s="3">
        <f aca="true" t="shared" si="14" ref="F72:K72">F73+F74+F75+F76</f>
        <v>2499.85</v>
      </c>
      <c r="G72" s="3">
        <f t="shared" si="14"/>
        <v>0</v>
      </c>
      <c r="H72" s="3">
        <f t="shared" si="14"/>
        <v>2499.85</v>
      </c>
      <c r="I72" s="3">
        <f t="shared" si="14"/>
        <v>0</v>
      </c>
      <c r="J72" s="3">
        <f t="shared" si="14"/>
        <v>0</v>
      </c>
      <c r="K72" s="3">
        <f t="shared" si="14"/>
        <v>0</v>
      </c>
      <c r="L72" s="88" t="s">
        <v>46</v>
      </c>
      <c r="M72" s="66" t="s">
        <v>167</v>
      </c>
    </row>
    <row r="73" spans="1:13" ht="38.25" customHeight="1">
      <c r="A73" s="94"/>
      <c r="B73" s="113"/>
      <c r="C73" s="18" t="s">
        <v>44</v>
      </c>
      <c r="D73" s="2" t="s">
        <v>9</v>
      </c>
      <c r="E73" s="3">
        <f>E78</f>
        <v>0</v>
      </c>
      <c r="F73" s="19">
        <f>G73+H73+I73+J73+K73</f>
        <v>1851.99</v>
      </c>
      <c r="G73" s="19">
        <f aca="true" t="shared" si="15" ref="G73:K76">G78+G83</f>
        <v>0</v>
      </c>
      <c r="H73" s="19">
        <f t="shared" si="15"/>
        <v>1851.99</v>
      </c>
      <c r="I73" s="19">
        <f t="shared" si="15"/>
        <v>0</v>
      </c>
      <c r="J73" s="19">
        <f t="shared" si="15"/>
        <v>0</v>
      </c>
      <c r="K73" s="19">
        <f t="shared" si="15"/>
        <v>0</v>
      </c>
      <c r="L73" s="70"/>
      <c r="M73" s="86"/>
    </row>
    <row r="74" spans="1:13" ht="51.75" customHeight="1">
      <c r="A74" s="94"/>
      <c r="B74" s="113"/>
      <c r="C74" s="18" t="s">
        <v>44</v>
      </c>
      <c r="D74" s="2" t="s">
        <v>10</v>
      </c>
      <c r="E74" s="3">
        <f>E79</f>
        <v>0</v>
      </c>
      <c r="F74" s="19">
        <f>G74+H74+I74+J74+K74</f>
        <v>617.01</v>
      </c>
      <c r="G74" s="19">
        <f t="shared" si="15"/>
        <v>0</v>
      </c>
      <c r="H74" s="19">
        <f t="shared" si="15"/>
        <v>617.01</v>
      </c>
      <c r="I74" s="19">
        <f t="shared" si="15"/>
        <v>0</v>
      </c>
      <c r="J74" s="19">
        <f t="shared" si="15"/>
        <v>0</v>
      </c>
      <c r="K74" s="19">
        <f t="shared" si="15"/>
        <v>0</v>
      </c>
      <c r="L74" s="70"/>
      <c r="M74" s="86"/>
    </row>
    <row r="75" spans="1:13" ht="62.25" customHeight="1">
      <c r="A75" s="94"/>
      <c r="B75" s="113"/>
      <c r="C75" s="18" t="s">
        <v>44</v>
      </c>
      <c r="D75" s="2" t="s">
        <v>11</v>
      </c>
      <c r="E75" s="3">
        <f>E80</f>
        <v>0</v>
      </c>
      <c r="F75" s="19">
        <f>G75+H75+I75+J75+K75</f>
        <v>30.85</v>
      </c>
      <c r="G75" s="19">
        <f t="shared" si="15"/>
        <v>0</v>
      </c>
      <c r="H75" s="19">
        <f t="shared" si="15"/>
        <v>30.85</v>
      </c>
      <c r="I75" s="19">
        <f t="shared" si="15"/>
        <v>0</v>
      </c>
      <c r="J75" s="19">
        <f t="shared" si="15"/>
        <v>0</v>
      </c>
      <c r="K75" s="19">
        <f t="shared" si="15"/>
        <v>0</v>
      </c>
      <c r="L75" s="70"/>
      <c r="M75" s="86"/>
    </row>
    <row r="76" spans="1:13" ht="163.5" customHeight="1">
      <c r="A76" s="95"/>
      <c r="B76" s="114"/>
      <c r="C76" s="18" t="s">
        <v>44</v>
      </c>
      <c r="D76" s="18" t="s">
        <v>34</v>
      </c>
      <c r="E76" s="3">
        <f>E81</f>
        <v>0</v>
      </c>
      <c r="F76" s="19">
        <f>G76+H76+I76+J76+K76</f>
        <v>0</v>
      </c>
      <c r="G76" s="19">
        <f t="shared" si="15"/>
        <v>0</v>
      </c>
      <c r="H76" s="19">
        <f t="shared" si="15"/>
        <v>0</v>
      </c>
      <c r="I76" s="19">
        <f t="shared" si="15"/>
        <v>0</v>
      </c>
      <c r="J76" s="19">
        <f t="shared" si="15"/>
        <v>0</v>
      </c>
      <c r="K76" s="19">
        <f t="shared" si="15"/>
        <v>0</v>
      </c>
      <c r="L76" s="71"/>
      <c r="M76" s="87"/>
    </row>
    <row r="77" spans="1:13" ht="24.75" customHeight="1">
      <c r="A77" s="108" t="s">
        <v>33</v>
      </c>
      <c r="B77" s="109" t="s">
        <v>123</v>
      </c>
      <c r="C77" s="18" t="s">
        <v>44</v>
      </c>
      <c r="D77" s="2" t="s">
        <v>7</v>
      </c>
      <c r="E77" s="3">
        <f aca="true" t="shared" si="16" ref="E77:K77">E78+E79+E80+E81</f>
        <v>0</v>
      </c>
      <c r="F77" s="3">
        <f t="shared" si="16"/>
        <v>0</v>
      </c>
      <c r="G77" s="3">
        <f t="shared" si="16"/>
        <v>0</v>
      </c>
      <c r="H77" s="3">
        <f t="shared" si="16"/>
        <v>0</v>
      </c>
      <c r="I77" s="3">
        <f t="shared" si="16"/>
        <v>0</v>
      </c>
      <c r="J77" s="3">
        <f t="shared" si="16"/>
        <v>0</v>
      </c>
      <c r="K77" s="3">
        <f t="shared" si="16"/>
        <v>0</v>
      </c>
      <c r="L77" s="88" t="s">
        <v>46</v>
      </c>
      <c r="M77" s="69"/>
    </row>
    <row r="78" spans="1:13" ht="41.25" customHeight="1">
      <c r="A78" s="64"/>
      <c r="B78" s="67"/>
      <c r="C78" s="18" t="s">
        <v>44</v>
      </c>
      <c r="D78" s="2" t="s">
        <v>9</v>
      </c>
      <c r="E78" s="3">
        <v>0</v>
      </c>
      <c r="F78" s="19">
        <f>G78+H78+I78+J78+K78</f>
        <v>0</v>
      </c>
      <c r="G78" s="19">
        <f aca="true" t="shared" si="17" ref="G78:K81">H78+I78+J78+K78+L78</f>
        <v>0</v>
      </c>
      <c r="H78" s="19">
        <f t="shared" si="17"/>
        <v>0</v>
      </c>
      <c r="I78" s="19">
        <f t="shared" si="17"/>
        <v>0</v>
      </c>
      <c r="J78" s="19">
        <f t="shared" si="17"/>
        <v>0</v>
      </c>
      <c r="K78" s="19">
        <f t="shared" si="17"/>
        <v>0</v>
      </c>
      <c r="L78" s="70"/>
      <c r="M78" s="70"/>
    </row>
    <row r="79" spans="1:13" ht="53.25" customHeight="1">
      <c r="A79" s="64"/>
      <c r="B79" s="67"/>
      <c r="C79" s="18" t="s">
        <v>44</v>
      </c>
      <c r="D79" s="2" t="s">
        <v>10</v>
      </c>
      <c r="E79" s="3">
        <v>0</v>
      </c>
      <c r="F79" s="19">
        <f>G79+H79+I79+J79+K79</f>
        <v>0</v>
      </c>
      <c r="G79" s="19">
        <f t="shared" si="17"/>
        <v>0</v>
      </c>
      <c r="H79" s="19">
        <f t="shared" si="17"/>
        <v>0</v>
      </c>
      <c r="I79" s="19">
        <f t="shared" si="17"/>
        <v>0</v>
      </c>
      <c r="J79" s="19">
        <f t="shared" si="17"/>
        <v>0</v>
      </c>
      <c r="K79" s="19">
        <f t="shared" si="17"/>
        <v>0</v>
      </c>
      <c r="L79" s="70"/>
      <c r="M79" s="70"/>
    </row>
    <row r="80" spans="1:13" ht="68.25" customHeight="1">
      <c r="A80" s="64"/>
      <c r="B80" s="67"/>
      <c r="C80" s="18" t="s">
        <v>44</v>
      </c>
      <c r="D80" s="2" t="s">
        <v>11</v>
      </c>
      <c r="E80" s="3">
        <v>0</v>
      </c>
      <c r="F80" s="19">
        <f>G80+H80+I80+J80+K80</f>
        <v>0</v>
      </c>
      <c r="G80" s="19">
        <f t="shared" si="17"/>
        <v>0</v>
      </c>
      <c r="H80" s="19">
        <f t="shared" si="17"/>
        <v>0</v>
      </c>
      <c r="I80" s="19">
        <f t="shared" si="17"/>
        <v>0</v>
      </c>
      <c r="J80" s="19">
        <f t="shared" si="17"/>
        <v>0</v>
      </c>
      <c r="K80" s="19">
        <f t="shared" si="17"/>
        <v>0</v>
      </c>
      <c r="L80" s="70"/>
      <c r="M80" s="70"/>
    </row>
    <row r="81" spans="1:13" ht="28.5" customHeight="1">
      <c r="A81" s="65"/>
      <c r="B81" s="68"/>
      <c r="C81" s="18" t="s">
        <v>44</v>
      </c>
      <c r="D81" s="18" t="s">
        <v>34</v>
      </c>
      <c r="E81" s="3">
        <v>0</v>
      </c>
      <c r="F81" s="19">
        <f>G81+H81+I81+J81+K81</f>
        <v>0</v>
      </c>
      <c r="G81" s="19">
        <f t="shared" si="17"/>
        <v>0</v>
      </c>
      <c r="H81" s="19">
        <f t="shared" si="17"/>
        <v>0</v>
      </c>
      <c r="I81" s="19">
        <f t="shared" si="17"/>
        <v>0</v>
      </c>
      <c r="J81" s="19">
        <f t="shared" si="17"/>
        <v>0</v>
      </c>
      <c r="K81" s="19">
        <f t="shared" si="17"/>
        <v>0</v>
      </c>
      <c r="L81" s="71"/>
      <c r="M81" s="71"/>
    </row>
    <row r="82" spans="1:13" ht="28.5" customHeight="1">
      <c r="A82" s="63" t="s">
        <v>40</v>
      </c>
      <c r="B82" s="109" t="s">
        <v>133</v>
      </c>
      <c r="C82" s="18" t="s">
        <v>44</v>
      </c>
      <c r="D82" s="2" t="s">
        <v>7</v>
      </c>
      <c r="E82" s="3">
        <f>E83+E84+E85+E86</f>
        <v>0</v>
      </c>
      <c r="F82" s="3">
        <f aca="true" t="shared" si="18" ref="F82:K82">F83+F84+F85+F86</f>
        <v>2499.85</v>
      </c>
      <c r="G82" s="3">
        <f t="shared" si="18"/>
        <v>0</v>
      </c>
      <c r="H82" s="3">
        <f t="shared" si="18"/>
        <v>2499.85</v>
      </c>
      <c r="I82" s="3">
        <f t="shared" si="18"/>
        <v>0</v>
      </c>
      <c r="J82" s="3">
        <f t="shared" si="18"/>
        <v>0</v>
      </c>
      <c r="K82" s="3">
        <f t="shared" si="18"/>
        <v>0</v>
      </c>
      <c r="L82" s="88" t="s">
        <v>46</v>
      </c>
      <c r="M82" s="117"/>
    </row>
    <row r="83" spans="1:13" ht="39" customHeight="1">
      <c r="A83" s="101"/>
      <c r="B83" s="110"/>
      <c r="C83" s="18" t="s">
        <v>44</v>
      </c>
      <c r="D83" s="2" t="s">
        <v>9</v>
      </c>
      <c r="E83" s="3">
        <v>0</v>
      </c>
      <c r="F83" s="19">
        <f>G83+H83+I83+J83+K83</f>
        <v>1851.99</v>
      </c>
      <c r="G83" s="19">
        <v>0</v>
      </c>
      <c r="H83" s="61">
        <f>1851+0.99</f>
        <v>1851.99</v>
      </c>
      <c r="I83" s="19">
        <v>0</v>
      </c>
      <c r="J83" s="19">
        <v>0</v>
      </c>
      <c r="K83" s="19">
        <v>0</v>
      </c>
      <c r="L83" s="70"/>
      <c r="M83" s="110"/>
    </row>
    <row r="84" spans="1:13" ht="49.5" customHeight="1">
      <c r="A84" s="101"/>
      <c r="B84" s="110"/>
      <c r="C84" s="18" t="s">
        <v>44</v>
      </c>
      <c r="D84" s="2" t="s">
        <v>10</v>
      </c>
      <c r="E84" s="3">
        <v>0</v>
      </c>
      <c r="F84" s="19">
        <f>G84+H84+I84+J84+K84</f>
        <v>617.01</v>
      </c>
      <c r="G84" s="19">
        <v>0</v>
      </c>
      <c r="H84" s="61">
        <f>617+0.01</f>
        <v>617.01</v>
      </c>
      <c r="I84" s="19">
        <v>0</v>
      </c>
      <c r="J84" s="19">
        <v>0</v>
      </c>
      <c r="K84" s="19">
        <v>0</v>
      </c>
      <c r="L84" s="70"/>
      <c r="M84" s="110"/>
    </row>
    <row r="85" spans="1:13" ht="63" customHeight="1">
      <c r="A85" s="101"/>
      <c r="B85" s="110"/>
      <c r="C85" s="18" t="s">
        <v>44</v>
      </c>
      <c r="D85" s="2" t="s">
        <v>11</v>
      </c>
      <c r="E85" s="3">
        <v>0</v>
      </c>
      <c r="F85" s="19">
        <f>G85+H85+I85+J85+K85</f>
        <v>30.85</v>
      </c>
      <c r="G85" s="19">
        <v>0</v>
      </c>
      <c r="H85" s="19">
        <v>30.85</v>
      </c>
      <c r="I85" s="19">
        <v>0</v>
      </c>
      <c r="J85" s="19">
        <v>0</v>
      </c>
      <c r="K85" s="19">
        <v>0</v>
      </c>
      <c r="L85" s="70"/>
      <c r="M85" s="110"/>
    </row>
    <row r="86" spans="1:13" ht="146.25" customHeight="1">
      <c r="A86" s="102"/>
      <c r="B86" s="111"/>
      <c r="C86" s="18" t="s">
        <v>44</v>
      </c>
      <c r="D86" s="18" t="s">
        <v>34</v>
      </c>
      <c r="E86" s="3">
        <v>0</v>
      </c>
      <c r="F86" s="19">
        <f>G86+H86+I86+J86+K86</f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71"/>
      <c r="M86" s="111"/>
    </row>
    <row r="87" spans="1:13" ht="19.5" customHeight="1">
      <c r="A87" s="98"/>
      <c r="B87" s="107" t="s">
        <v>12</v>
      </c>
      <c r="C87" s="18" t="s">
        <v>44</v>
      </c>
      <c r="D87" s="2" t="s">
        <v>7</v>
      </c>
      <c r="E87" s="3">
        <f>E88+E89+E90+E91</f>
        <v>1572148.2</v>
      </c>
      <c r="F87" s="19">
        <f aca="true" t="shared" si="19" ref="F87:K87">F88+F89+F90+F91</f>
        <v>7956647.09</v>
      </c>
      <c r="G87" s="9">
        <f t="shared" si="19"/>
        <v>1640101.04</v>
      </c>
      <c r="H87" s="19">
        <f t="shared" si="19"/>
        <v>1524890.85</v>
      </c>
      <c r="I87" s="19">
        <f t="shared" si="19"/>
        <v>1597218.4</v>
      </c>
      <c r="J87" s="19">
        <f t="shared" si="19"/>
        <v>1597218.4</v>
      </c>
      <c r="K87" s="19">
        <f t="shared" si="19"/>
        <v>1597218.4</v>
      </c>
      <c r="L87" s="72"/>
      <c r="M87" s="72"/>
    </row>
    <row r="88" spans="1:13" ht="36">
      <c r="A88" s="98"/>
      <c r="B88" s="107"/>
      <c r="C88" s="18" t="s">
        <v>44</v>
      </c>
      <c r="D88" s="2" t="s">
        <v>9</v>
      </c>
      <c r="E88" s="3">
        <f>E18+E33+E73</f>
        <v>0</v>
      </c>
      <c r="F88" s="9">
        <f>G88+H88+I88+J88+K88</f>
        <v>1851.99</v>
      </c>
      <c r="G88" s="9">
        <f aca="true" t="shared" si="20" ref="G88:K91">G18+G33+G73</f>
        <v>0</v>
      </c>
      <c r="H88" s="9">
        <f t="shared" si="20"/>
        <v>1851.99</v>
      </c>
      <c r="I88" s="9">
        <f t="shared" si="20"/>
        <v>0</v>
      </c>
      <c r="J88" s="9">
        <f t="shared" si="20"/>
        <v>0</v>
      </c>
      <c r="K88" s="9">
        <f t="shared" si="20"/>
        <v>0</v>
      </c>
      <c r="L88" s="72"/>
      <c r="M88" s="72"/>
    </row>
    <row r="89" spans="1:13" ht="48">
      <c r="A89" s="98"/>
      <c r="B89" s="107"/>
      <c r="C89" s="18" t="s">
        <v>44</v>
      </c>
      <c r="D89" s="2" t="s">
        <v>10</v>
      </c>
      <c r="E89" s="3">
        <f>E19+E34+E74</f>
        <v>974833</v>
      </c>
      <c r="F89" s="9">
        <f>G89+H89+I89+J89+K89</f>
        <v>5291799.01</v>
      </c>
      <c r="G89" s="9">
        <f t="shared" si="20"/>
        <v>1084163</v>
      </c>
      <c r="H89" s="9">
        <f t="shared" si="20"/>
        <v>984928.01</v>
      </c>
      <c r="I89" s="9">
        <f t="shared" si="20"/>
        <v>1074236</v>
      </c>
      <c r="J89" s="9">
        <f t="shared" si="20"/>
        <v>1074236</v>
      </c>
      <c r="K89" s="9">
        <f t="shared" si="20"/>
        <v>1074236</v>
      </c>
      <c r="L89" s="72"/>
      <c r="M89" s="72"/>
    </row>
    <row r="90" spans="1:13" ht="60">
      <c r="A90" s="98"/>
      <c r="B90" s="107"/>
      <c r="C90" s="18" t="s">
        <v>44</v>
      </c>
      <c r="D90" s="2" t="s">
        <v>11</v>
      </c>
      <c r="E90" s="3">
        <f>E20+E35+E75</f>
        <v>435953.5</v>
      </c>
      <c r="F90" s="9">
        <f>G90+H90+I90+J90+K90</f>
        <v>1759496.0899999999</v>
      </c>
      <c r="G90" s="9">
        <f t="shared" si="20"/>
        <v>380838.04</v>
      </c>
      <c r="H90" s="9">
        <f>H20+H35+H75</f>
        <v>356010.85000000003</v>
      </c>
      <c r="I90" s="9">
        <f t="shared" si="20"/>
        <v>340882.4</v>
      </c>
      <c r="J90" s="9">
        <f t="shared" si="20"/>
        <v>340882.4</v>
      </c>
      <c r="K90" s="9">
        <f t="shared" si="20"/>
        <v>340882.4</v>
      </c>
      <c r="L90" s="72"/>
      <c r="M90" s="72"/>
    </row>
    <row r="91" spans="1:13" ht="24">
      <c r="A91" s="98"/>
      <c r="B91" s="107"/>
      <c r="C91" s="18" t="s">
        <v>44</v>
      </c>
      <c r="D91" s="18" t="s">
        <v>34</v>
      </c>
      <c r="E91" s="3">
        <f>E21+E36+E76</f>
        <v>161361.7</v>
      </c>
      <c r="F91" s="9">
        <f>G91+H91+I91+J91+K91</f>
        <v>903500</v>
      </c>
      <c r="G91" s="9">
        <f t="shared" si="20"/>
        <v>175100</v>
      </c>
      <c r="H91" s="9">
        <f t="shared" si="20"/>
        <v>182100</v>
      </c>
      <c r="I91" s="9">
        <f t="shared" si="20"/>
        <v>182100</v>
      </c>
      <c r="J91" s="9">
        <f t="shared" si="20"/>
        <v>182100</v>
      </c>
      <c r="K91" s="9">
        <f t="shared" si="20"/>
        <v>182100</v>
      </c>
      <c r="L91" s="72"/>
      <c r="M91" s="72"/>
    </row>
    <row r="92" spans="1:11" ht="15">
      <c r="A92" s="6"/>
      <c r="B92" s="4"/>
      <c r="F92" s="36"/>
      <c r="G92" s="36"/>
      <c r="H92" s="29"/>
      <c r="I92" s="29"/>
      <c r="J92" s="37"/>
      <c r="K92" s="36"/>
    </row>
    <row r="93" spans="6:11" ht="15">
      <c r="F93" s="36"/>
      <c r="G93" s="36"/>
      <c r="H93" s="29"/>
      <c r="I93" s="29"/>
      <c r="J93" s="37"/>
      <c r="K93" s="36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ht="15">
      <c r="H135" s="8"/>
    </row>
    <row r="136" ht="15">
      <c r="H136" s="8"/>
    </row>
    <row r="137" ht="15">
      <c r="H137" s="8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  <row r="295" ht="15">
      <c r="H295" s="8"/>
    </row>
    <row r="296" ht="15">
      <c r="H296" s="8"/>
    </row>
    <row r="297" ht="15">
      <c r="H297" s="8"/>
    </row>
    <row r="298" ht="15">
      <c r="H298" s="8"/>
    </row>
    <row r="299" ht="15">
      <c r="H299" s="8"/>
    </row>
    <row r="300" ht="15">
      <c r="H300" s="8"/>
    </row>
    <row r="301" ht="15">
      <c r="H301" s="8"/>
    </row>
    <row r="302" ht="15">
      <c r="H302" s="8"/>
    </row>
    <row r="303" ht="15">
      <c r="H303" s="8"/>
    </row>
    <row r="304" ht="15">
      <c r="H304" s="8"/>
    </row>
    <row r="305" ht="15">
      <c r="H305" s="8"/>
    </row>
    <row r="306" ht="15">
      <c r="H306" s="8"/>
    </row>
    <row r="307" ht="15">
      <c r="H307" s="8"/>
    </row>
    <row r="308" ht="15">
      <c r="H308" s="8"/>
    </row>
    <row r="309" ht="15">
      <c r="H309" s="8"/>
    </row>
    <row r="310" ht="15">
      <c r="H310" s="8"/>
    </row>
    <row r="311" ht="15">
      <c r="H311" s="8"/>
    </row>
    <row r="312" ht="15">
      <c r="H312" s="8"/>
    </row>
    <row r="313" ht="15">
      <c r="H313" s="8"/>
    </row>
    <row r="314" ht="15">
      <c r="H314" s="8"/>
    </row>
    <row r="315" ht="15">
      <c r="H315" s="8"/>
    </row>
    <row r="316" ht="15">
      <c r="H316" s="8"/>
    </row>
    <row r="317" ht="15">
      <c r="H317" s="8"/>
    </row>
    <row r="318" ht="15">
      <c r="H318" s="8"/>
    </row>
    <row r="319" ht="15">
      <c r="H319" s="8"/>
    </row>
    <row r="320" ht="15">
      <c r="H320" s="8"/>
    </row>
    <row r="321" ht="15">
      <c r="H321" s="8"/>
    </row>
    <row r="322" ht="15">
      <c r="H322" s="8"/>
    </row>
    <row r="323" ht="15">
      <c r="H323" s="8"/>
    </row>
    <row r="324" ht="15">
      <c r="H324" s="8"/>
    </row>
    <row r="325" ht="15">
      <c r="H325" s="8"/>
    </row>
    <row r="326" ht="15">
      <c r="H326" s="8"/>
    </row>
    <row r="327" ht="15">
      <c r="H327" s="8"/>
    </row>
    <row r="328" ht="15">
      <c r="H328" s="8"/>
    </row>
    <row r="329" ht="15">
      <c r="H329" s="8"/>
    </row>
    <row r="330" ht="15">
      <c r="H330" s="8"/>
    </row>
    <row r="331" ht="15">
      <c r="H331" s="8"/>
    </row>
    <row r="332" ht="15">
      <c r="H332" s="8"/>
    </row>
    <row r="333" ht="15">
      <c r="H333" s="8"/>
    </row>
    <row r="334" ht="15">
      <c r="H334" s="8"/>
    </row>
    <row r="335" ht="15">
      <c r="H335" s="8"/>
    </row>
    <row r="336" ht="15">
      <c r="H336" s="8"/>
    </row>
    <row r="337" ht="15">
      <c r="H337" s="8"/>
    </row>
    <row r="338" ht="15">
      <c r="H338" s="8"/>
    </row>
    <row r="339" ht="15">
      <c r="H339" s="8"/>
    </row>
    <row r="340" ht="15">
      <c r="H340" s="8"/>
    </row>
    <row r="341" ht="15">
      <c r="H341" s="8"/>
    </row>
    <row r="342" ht="15">
      <c r="H342" s="8"/>
    </row>
    <row r="343" ht="15">
      <c r="H343" s="8"/>
    </row>
    <row r="344" ht="15">
      <c r="H344" s="8"/>
    </row>
    <row r="345" ht="15">
      <c r="H345" s="8"/>
    </row>
    <row r="346" ht="15">
      <c r="H346" s="8"/>
    </row>
    <row r="347" ht="15">
      <c r="H347" s="8"/>
    </row>
    <row r="348" ht="15">
      <c r="H348" s="8"/>
    </row>
    <row r="349" ht="15">
      <c r="H349" s="8"/>
    </row>
    <row r="350" ht="15">
      <c r="H350" s="8"/>
    </row>
    <row r="351" ht="15">
      <c r="H351" s="8"/>
    </row>
    <row r="352" ht="15">
      <c r="H352" s="8"/>
    </row>
    <row r="353" ht="15">
      <c r="H353" s="8"/>
    </row>
    <row r="354" ht="15">
      <c r="H354" s="8"/>
    </row>
    <row r="355" ht="15">
      <c r="H355" s="8"/>
    </row>
    <row r="356" ht="15">
      <c r="H356" s="8"/>
    </row>
    <row r="357" ht="15">
      <c r="H357" s="8"/>
    </row>
    <row r="358" ht="15">
      <c r="H358" s="8"/>
    </row>
    <row r="359" ht="15">
      <c r="H359" s="8"/>
    </row>
    <row r="360" ht="15">
      <c r="H360" s="8"/>
    </row>
    <row r="361" ht="15">
      <c r="H361" s="8"/>
    </row>
    <row r="362" ht="15">
      <c r="H362" s="8"/>
    </row>
    <row r="363" ht="15">
      <c r="H363" s="8"/>
    </row>
    <row r="364" ht="15">
      <c r="H364" s="8"/>
    </row>
    <row r="365" ht="15">
      <c r="H365" s="8"/>
    </row>
    <row r="366" ht="15">
      <c r="H366" s="8"/>
    </row>
    <row r="367" ht="15">
      <c r="H367" s="8"/>
    </row>
    <row r="368" ht="15">
      <c r="H368" s="8"/>
    </row>
    <row r="369" ht="15">
      <c r="H369" s="8"/>
    </row>
    <row r="370" ht="15">
      <c r="H370" s="8"/>
    </row>
    <row r="371" ht="15">
      <c r="H371" s="8"/>
    </row>
    <row r="372" ht="15">
      <c r="H372" s="8"/>
    </row>
    <row r="373" ht="15">
      <c r="H373" s="8"/>
    </row>
    <row r="374" ht="15">
      <c r="H374" s="8"/>
    </row>
    <row r="375" ht="15">
      <c r="H375" s="8"/>
    </row>
    <row r="376" ht="15">
      <c r="H376" s="8"/>
    </row>
    <row r="377" ht="15">
      <c r="H377" s="8"/>
    </row>
    <row r="378" ht="15">
      <c r="H378" s="8"/>
    </row>
    <row r="379" ht="15">
      <c r="H379" s="8"/>
    </row>
    <row r="380" ht="15">
      <c r="H380" s="8"/>
    </row>
    <row r="381" ht="15">
      <c r="H381" s="8"/>
    </row>
    <row r="382" ht="15">
      <c r="H382" s="8"/>
    </row>
    <row r="383" ht="15">
      <c r="H383" s="8"/>
    </row>
    <row r="384" ht="15">
      <c r="H384" s="8"/>
    </row>
    <row r="385" ht="15">
      <c r="H385" s="8"/>
    </row>
    <row r="386" ht="15">
      <c r="H386" s="8"/>
    </row>
    <row r="387" ht="15">
      <c r="H387" s="8"/>
    </row>
    <row r="388" ht="15">
      <c r="H388" s="8"/>
    </row>
    <row r="389" ht="15">
      <c r="H389" s="8"/>
    </row>
    <row r="390" ht="15">
      <c r="H390" s="8"/>
    </row>
    <row r="391" ht="15">
      <c r="H391" s="8"/>
    </row>
    <row r="392" ht="15">
      <c r="H392" s="8"/>
    </row>
    <row r="393" ht="15">
      <c r="H393" s="8"/>
    </row>
    <row r="394" ht="15">
      <c r="H394" s="8"/>
    </row>
    <row r="395" ht="15">
      <c r="H395" s="8"/>
    </row>
    <row r="396" ht="15">
      <c r="H396" s="8"/>
    </row>
    <row r="397" ht="15">
      <c r="H397" s="8"/>
    </row>
    <row r="398" ht="15">
      <c r="H398" s="8"/>
    </row>
    <row r="399" ht="15">
      <c r="H399" s="8"/>
    </row>
    <row r="400" ht="15">
      <c r="H400" s="8"/>
    </row>
    <row r="401" ht="15">
      <c r="H401" s="8"/>
    </row>
    <row r="402" ht="15">
      <c r="H402" s="8"/>
    </row>
    <row r="403" ht="15">
      <c r="H403" s="8"/>
    </row>
    <row r="404" ht="15">
      <c r="H404" s="8"/>
    </row>
    <row r="405" ht="15">
      <c r="H405" s="8"/>
    </row>
    <row r="406" ht="15">
      <c r="H406" s="8"/>
    </row>
    <row r="407" ht="15">
      <c r="H407" s="8"/>
    </row>
    <row r="408" ht="15">
      <c r="H408" s="8"/>
    </row>
    <row r="409" ht="15">
      <c r="H409" s="8"/>
    </row>
    <row r="410" ht="15">
      <c r="H410" s="8"/>
    </row>
    <row r="411" ht="15">
      <c r="H411" s="8"/>
    </row>
    <row r="412" ht="15">
      <c r="H412" s="8"/>
    </row>
    <row r="413" ht="15">
      <c r="H413" s="8"/>
    </row>
    <row r="414" ht="15">
      <c r="H414" s="8"/>
    </row>
    <row r="415" ht="15">
      <c r="H415" s="8"/>
    </row>
    <row r="416" ht="15">
      <c r="H416" s="8"/>
    </row>
    <row r="417" ht="15">
      <c r="H417" s="8"/>
    </row>
    <row r="418" ht="15">
      <c r="H418" s="8"/>
    </row>
    <row r="419" ht="15">
      <c r="H419" s="8"/>
    </row>
    <row r="420" ht="15">
      <c r="H420" s="8"/>
    </row>
    <row r="421" ht="15">
      <c r="H421" s="8"/>
    </row>
    <row r="422" ht="15">
      <c r="H422" s="8"/>
    </row>
    <row r="423" ht="15">
      <c r="H423" s="8"/>
    </row>
    <row r="424" ht="15">
      <c r="H424" s="8"/>
    </row>
    <row r="425" ht="15">
      <c r="H425" s="8"/>
    </row>
    <row r="426" ht="15">
      <c r="H426" s="8"/>
    </row>
    <row r="427" ht="15">
      <c r="H427" s="8"/>
    </row>
    <row r="428" ht="15">
      <c r="H428" s="8"/>
    </row>
    <row r="429" ht="15">
      <c r="H429" s="8"/>
    </row>
    <row r="430" ht="15">
      <c r="H430" s="8"/>
    </row>
    <row r="431" ht="15">
      <c r="H431" s="8"/>
    </row>
    <row r="432" ht="15">
      <c r="H432" s="8"/>
    </row>
    <row r="433" ht="15">
      <c r="H433" s="8"/>
    </row>
    <row r="434" ht="15">
      <c r="H434" s="8"/>
    </row>
    <row r="435" ht="15">
      <c r="H435" s="8"/>
    </row>
    <row r="436" ht="15">
      <c r="H436" s="8"/>
    </row>
    <row r="437" ht="15">
      <c r="H437" s="8"/>
    </row>
    <row r="438" ht="15">
      <c r="H438" s="8"/>
    </row>
    <row r="439" ht="15">
      <c r="H439" s="8"/>
    </row>
    <row r="440" ht="15">
      <c r="H440" s="8"/>
    </row>
    <row r="441" ht="15">
      <c r="H441" s="8"/>
    </row>
    <row r="442" ht="15">
      <c r="H442" s="8"/>
    </row>
    <row r="443" ht="15">
      <c r="H443" s="8"/>
    </row>
    <row r="444" ht="15">
      <c r="H444" s="8"/>
    </row>
    <row r="445" ht="15">
      <c r="H445" s="8"/>
    </row>
    <row r="446" ht="15">
      <c r="H446" s="8"/>
    </row>
    <row r="447" ht="15">
      <c r="H447" s="8"/>
    </row>
    <row r="448" ht="15">
      <c r="H448" s="8"/>
    </row>
    <row r="449" ht="15">
      <c r="H449" s="8"/>
    </row>
    <row r="450" ht="15">
      <c r="H450" s="8"/>
    </row>
    <row r="451" ht="15">
      <c r="H451" s="8"/>
    </row>
    <row r="452" ht="15">
      <c r="H452" s="8"/>
    </row>
    <row r="453" ht="15">
      <c r="H453" s="8"/>
    </row>
    <row r="454" ht="15">
      <c r="H454" s="8"/>
    </row>
    <row r="455" ht="15">
      <c r="H455" s="8"/>
    </row>
    <row r="456" ht="15">
      <c r="H456" s="8"/>
    </row>
    <row r="457" ht="15">
      <c r="H457" s="8"/>
    </row>
    <row r="458" ht="15">
      <c r="H458" s="8"/>
    </row>
    <row r="459" ht="15">
      <c r="H459" s="8"/>
    </row>
    <row r="460" ht="15">
      <c r="H460" s="8"/>
    </row>
    <row r="461" ht="15">
      <c r="H461" s="8"/>
    </row>
    <row r="462" ht="15">
      <c r="H462" s="8"/>
    </row>
    <row r="463" ht="15">
      <c r="H463" s="8"/>
    </row>
    <row r="464" ht="15">
      <c r="H464" s="8"/>
    </row>
    <row r="465" ht="15">
      <c r="H465" s="8"/>
    </row>
    <row r="466" ht="15">
      <c r="H466" s="8"/>
    </row>
    <row r="467" ht="15">
      <c r="H467" s="8"/>
    </row>
    <row r="468" ht="15">
      <c r="H468" s="8"/>
    </row>
    <row r="469" ht="15">
      <c r="H469" s="8"/>
    </row>
    <row r="470" ht="15">
      <c r="H470" s="8"/>
    </row>
    <row r="471" ht="15">
      <c r="H471" s="8"/>
    </row>
  </sheetData>
  <sheetProtection/>
  <mergeCells count="76">
    <mergeCell ref="M82:M86"/>
    <mergeCell ref="B57:B61"/>
    <mergeCell ref="L42:L46"/>
    <mergeCell ref="M42:M46"/>
    <mergeCell ref="L47:L51"/>
    <mergeCell ref="M47:M51"/>
    <mergeCell ref="M52:M56"/>
    <mergeCell ref="B47:B51"/>
    <mergeCell ref="L52:L56"/>
    <mergeCell ref="M77:M81"/>
    <mergeCell ref="A82:A86"/>
    <mergeCell ref="B82:B86"/>
    <mergeCell ref="L82:L86"/>
    <mergeCell ref="L22:L26"/>
    <mergeCell ref="A77:A81"/>
    <mergeCell ref="B42:B46"/>
    <mergeCell ref="A47:A51"/>
    <mergeCell ref="B72:B76"/>
    <mergeCell ref="L32:L36"/>
    <mergeCell ref="B62:B66"/>
    <mergeCell ref="G13:K13"/>
    <mergeCell ref="L62:L66"/>
    <mergeCell ref="M62:M66"/>
    <mergeCell ref="M27:M31"/>
    <mergeCell ref="L27:L31"/>
    <mergeCell ref="M87:M91"/>
    <mergeCell ref="L87:L91"/>
    <mergeCell ref="L77:L81"/>
    <mergeCell ref="M22:M26"/>
    <mergeCell ref="L37:L41"/>
    <mergeCell ref="M32:M36"/>
    <mergeCell ref="L57:L61"/>
    <mergeCell ref="M57:M61"/>
    <mergeCell ref="B77:B81"/>
    <mergeCell ref="L72:L76"/>
    <mergeCell ref="B52:B56"/>
    <mergeCell ref="C13:C14"/>
    <mergeCell ref="A87:A91"/>
    <mergeCell ref="B32:B36"/>
    <mergeCell ref="A62:A66"/>
    <mergeCell ref="B23:B26"/>
    <mergeCell ref="A57:A61"/>
    <mergeCell ref="A32:A36"/>
    <mergeCell ref="A42:A46"/>
    <mergeCell ref="B87:B91"/>
    <mergeCell ref="A52:A56"/>
    <mergeCell ref="J1:M1"/>
    <mergeCell ref="M72:M76"/>
    <mergeCell ref="M17:M21"/>
    <mergeCell ref="L17:L21"/>
    <mergeCell ref="A17:A21"/>
    <mergeCell ref="J6:M6"/>
    <mergeCell ref="A72:A76"/>
    <mergeCell ref="M13:M14"/>
    <mergeCell ref="E13:E14"/>
    <mergeCell ref="J7:M7"/>
    <mergeCell ref="J10:M10"/>
    <mergeCell ref="A27:A31"/>
    <mergeCell ref="B28:B31"/>
    <mergeCell ref="A22:A26"/>
    <mergeCell ref="J5:M5"/>
    <mergeCell ref="A12:M12"/>
    <mergeCell ref="L13:L14"/>
    <mergeCell ref="A13:A14"/>
    <mergeCell ref="A16:M16"/>
    <mergeCell ref="F13:F14"/>
    <mergeCell ref="D13:D14"/>
    <mergeCell ref="A67:A71"/>
    <mergeCell ref="B67:B71"/>
    <mergeCell ref="M67:M71"/>
    <mergeCell ref="L67:L71"/>
    <mergeCell ref="A37:A41"/>
    <mergeCell ref="B37:B41"/>
    <mergeCell ref="M37:M41"/>
    <mergeCell ref="B17:B21"/>
    <mergeCell ref="B13:B14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4"/>
  <sheetViews>
    <sheetView zoomScaleSheetLayoutView="100" zoomScalePageLayoutView="0" workbookViewId="0" topLeftCell="A1">
      <selection activeCell="L15" sqref="L15:L19"/>
    </sheetView>
  </sheetViews>
  <sheetFormatPr defaultColWidth="9.00390625" defaultRowHeight="15"/>
  <cols>
    <col min="1" max="1" width="5.7109375" style="5" customWidth="1"/>
    <col min="2" max="2" width="17.421875" style="0" customWidth="1"/>
    <col min="3" max="3" width="8.8515625" style="0" customWidth="1"/>
    <col min="4" max="4" width="11.140625" style="0" customWidth="1"/>
    <col min="5" max="5" width="10.140625" style="8" customWidth="1"/>
    <col min="6" max="6" width="12.140625" style="0" customWidth="1"/>
    <col min="7" max="7" width="11.140625" style="0" bestFit="1" customWidth="1"/>
    <col min="8" max="8" width="10.57421875" style="22" customWidth="1"/>
    <col min="9" max="9" width="10.421875" style="8" customWidth="1"/>
    <col min="10" max="10" width="10.8515625" style="14" customWidth="1"/>
    <col min="11" max="11" width="10.140625" style="0" customWidth="1"/>
    <col min="12" max="12" width="10.421875" style="0" customWidth="1"/>
    <col min="13" max="13" width="23.8515625" style="0" customWidth="1"/>
  </cols>
  <sheetData>
    <row r="1" spans="1:13" ht="61.5" customHeight="1">
      <c r="A1" s="171" t="s">
        <v>2</v>
      </c>
      <c r="B1" s="171" t="s">
        <v>36</v>
      </c>
      <c r="C1" s="171" t="s">
        <v>39</v>
      </c>
      <c r="D1" s="171" t="s">
        <v>3</v>
      </c>
      <c r="E1" s="96" t="s">
        <v>38</v>
      </c>
      <c r="F1" s="171" t="s">
        <v>4</v>
      </c>
      <c r="G1" s="173" t="s">
        <v>5</v>
      </c>
      <c r="H1" s="174"/>
      <c r="I1" s="174"/>
      <c r="J1" s="174"/>
      <c r="K1" s="175"/>
      <c r="L1" s="171" t="s">
        <v>6</v>
      </c>
      <c r="M1" s="171" t="s">
        <v>13</v>
      </c>
    </row>
    <row r="2" spans="1:13" ht="98.25" customHeight="1">
      <c r="A2" s="172"/>
      <c r="B2" s="172"/>
      <c r="C2" s="172"/>
      <c r="D2" s="172"/>
      <c r="E2" s="97"/>
      <c r="F2" s="172"/>
      <c r="G2" s="43" t="s">
        <v>77</v>
      </c>
      <c r="H2" s="1" t="s">
        <v>78</v>
      </c>
      <c r="I2" s="7" t="s">
        <v>79</v>
      </c>
      <c r="J2" s="1" t="s">
        <v>80</v>
      </c>
      <c r="K2" s="1" t="s">
        <v>81</v>
      </c>
      <c r="L2" s="172"/>
      <c r="M2" s="172"/>
    </row>
    <row r="3" spans="1:13" ht="15">
      <c r="A3" s="1">
        <v>1</v>
      </c>
      <c r="B3" s="1">
        <v>2</v>
      </c>
      <c r="C3" s="1">
        <v>3</v>
      </c>
      <c r="D3" s="1">
        <v>4</v>
      </c>
      <c r="E3" s="7">
        <v>5</v>
      </c>
      <c r="F3" s="1">
        <v>6</v>
      </c>
      <c r="G3" s="1">
        <v>7</v>
      </c>
      <c r="H3" s="7">
        <v>8</v>
      </c>
      <c r="I3" s="7">
        <v>9</v>
      </c>
      <c r="J3" s="15">
        <v>10</v>
      </c>
      <c r="K3" s="1">
        <v>11</v>
      </c>
      <c r="L3" s="1">
        <v>12</v>
      </c>
      <c r="M3" s="1">
        <v>13</v>
      </c>
    </row>
    <row r="4" spans="1:13" ht="22.5" customHeight="1">
      <c r="A4" s="168" t="s">
        <v>22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</row>
    <row r="5" spans="1:13" ht="21.75" customHeight="1">
      <c r="A5" s="138" t="s">
        <v>24</v>
      </c>
      <c r="B5" s="127" t="s">
        <v>113</v>
      </c>
      <c r="C5" s="18" t="s">
        <v>44</v>
      </c>
      <c r="D5" s="18" t="s">
        <v>7</v>
      </c>
      <c r="E5" s="19">
        <f aca="true" t="shared" si="0" ref="E5:K5">E6+E7+E8+E9</f>
        <v>1898159.5</v>
      </c>
      <c r="F5" s="19">
        <f>F6+F7+F8+F9</f>
        <v>10978814.14</v>
      </c>
      <c r="G5" s="19">
        <f>G6+G7+G8+G9</f>
        <v>2113694.23</v>
      </c>
      <c r="H5" s="19">
        <f>H6+H7+H8+H9</f>
        <v>2369621.01</v>
      </c>
      <c r="I5" s="19">
        <f t="shared" si="0"/>
        <v>2165166.3</v>
      </c>
      <c r="J5" s="19">
        <f t="shared" si="0"/>
        <v>2165166.3</v>
      </c>
      <c r="K5" s="19">
        <f t="shared" si="0"/>
        <v>2165166.3</v>
      </c>
      <c r="L5" s="66" t="s">
        <v>16</v>
      </c>
      <c r="M5" s="66" t="s">
        <v>163</v>
      </c>
    </row>
    <row r="6" spans="1:13" ht="38.25" customHeight="1">
      <c r="A6" s="162"/>
      <c r="B6" s="166"/>
      <c r="C6" s="18" t="s">
        <v>44</v>
      </c>
      <c r="D6" s="18" t="s">
        <v>9</v>
      </c>
      <c r="E6" s="19">
        <f>E11+E16+E21+E31</f>
        <v>0</v>
      </c>
      <c r="F6" s="19">
        <f>G6+H6+I6+J6+K6</f>
        <v>322270</v>
      </c>
      <c r="G6" s="19">
        <f aca="true" t="shared" si="1" ref="G6:K7">G11+G16+G21+G31+G26+G38</f>
        <v>24790</v>
      </c>
      <c r="H6" s="19">
        <f t="shared" si="1"/>
        <v>74370</v>
      </c>
      <c r="I6" s="19">
        <f t="shared" si="1"/>
        <v>74370</v>
      </c>
      <c r="J6" s="19">
        <f t="shared" si="1"/>
        <v>74370</v>
      </c>
      <c r="K6" s="19">
        <f t="shared" si="1"/>
        <v>74370</v>
      </c>
      <c r="L6" s="86"/>
      <c r="M6" s="86"/>
    </row>
    <row r="7" spans="1:13" ht="49.5" customHeight="1">
      <c r="A7" s="162"/>
      <c r="B7" s="166"/>
      <c r="C7" s="18" t="s">
        <v>44</v>
      </c>
      <c r="D7" s="18" t="s">
        <v>10</v>
      </c>
      <c r="E7" s="19">
        <f>E12+E17+E22+E32</f>
        <v>1584903</v>
      </c>
      <c r="F7" s="19">
        <f>G7+H7+I7+J7+K7</f>
        <v>8713042</v>
      </c>
      <c r="G7" s="19">
        <f t="shared" si="1"/>
        <v>1737224</v>
      </c>
      <c r="H7" s="19">
        <f t="shared" si="1"/>
        <v>1889498</v>
      </c>
      <c r="I7" s="19">
        <f t="shared" si="1"/>
        <v>1695440</v>
      </c>
      <c r="J7" s="19">
        <f t="shared" si="1"/>
        <v>1695440</v>
      </c>
      <c r="K7" s="19">
        <f t="shared" si="1"/>
        <v>1695440</v>
      </c>
      <c r="L7" s="86"/>
      <c r="M7" s="86"/>
    </row>
    <row r="8" spans="1:13" ht="62.25" customHeight="1">
      <c r="A8" s="162"/>
      <c r="B8" s="166"/>
      <c r="C8" s="18" t="s">
        <v>44</v>
      </c>
      <c r="D8" s="18" t="s">
        <v>11</v>
      </c>
      <c r="E8" s="19">
        <f>E13+E18+E23+E33</f>
        <v>294995.5</v>
      </c>
      <c r="F8" s="19">
        <f>G8+H8+I8+J8+K8</f>
        <v>1735202.1400000001</v>
      </c>
      <c r="G8" s="19">
        <f>G13+G18+G23+G33+G28+G40+G36</f>
        <v>308180.23000000004</v>
      </c>
      <c r="H8" s="19">
        <f>H13+H18+H23+H33+H28+H40+H36</f>
        <v>364553.00999999995</v>
      </c>
      <c r="I8" s="19">
        <f>I13+I18+I23+I33+I28+I40+I36</f>
        <v>354156.3</v>
      </c>
      <c r="J8" s="19">
        <f>J13+J18+J23+J33+J28+J40+J36</f>
        <v>354156.3</v>
      </c>
      <c r="K8" s="19">
        <f>K13+K18+K23+K33+K28+K40+K36</f>
        <v>354156.3</v>
      </c>
      <c r="L8" s="86"/>
      <c r="M8" s="86"/>
    </row>
    <row r="9" spans="1:13" ht="37.5" customHeight="1">
      <c r="A9" s="163"/>
      <c r="B9" s="167"/>
      <c r="C9" s="18" t="s">
        <v>44</v>
      </c>
      <c r="D9" s="18" t="s">
        <v>34</v>
      </c>
      <c r="E9" s="19">
        <f>E14+E19+E24+E34</f>
        <v>18261</v>
      </c>
      <c r="F9" s="19">
        <f>G9+H9+I9+J9+K9</f>
        <v>208300</v>
      </c>
      <c r="G9" s="19">
        <f>G14+G19+G24+G34+G29+G41</f>
        <v>43500</v>
      </c>
      <c r="H9" s="19">
        <f>H14+H19+H24+H34+H29+H41</f>
        <v>41200</v>
      </c>
      <c r="I9" s="19">
        <f>I14+I19+I24+I34+I29+I41</f>
        <v>41200</v>
      </c>
      <c r="J9" s="19">
        <f>J14+J19+J24+J34+J29+J41</f>
        <v>41200</v>
      </c>
      <c r="K9" s="19">
        <f>K14+K19+K24+K34+K29+K41</f>
        <v>41200</v>
      </c>
      <c r="L9" s="87"/>
      <c r="M9" s="87"/>
    </row>
    <row r="10" spans="1:13" s="14" customFormat="1" ht="21.75" customHeight="1">
      <c r="A10" s="138" t="s">
        <v>19</v>
      </c>
      <c r="B10" s="17" t="s">
        <v>134</v>
      </c>
      <c r="C10" s="18" t="s">
        <v>44</v>
      </c>
      <c r="D10" s="18" t="s">
        <v>7</v>
      </c>
      <c r="E10" s="19">
        <f aca="true" t="shared" si="2" ref="E10:K10">E11+E12+E13+E14</f>
        <v>1567098</v>
      </c>
      <c r="F10" s="19">
        <f t="shared" si="2"/>
        <v>8773305</v>
      </c>
      <c r="G10" s="19">
        <f t="shared" si="2"/>
        <v>1753111</v>
      </c>
      <c r="H10" s="19">
        <f t="shared" si="2"/>
        <v>1900592</v>
      </c>
      <c r="I10" s="19">
        <f t="shared" si="2"/>
        <v>1706534</v>
      </c>
      <c r="J10" s="19">
        <f t="shared" si="2"/>
        <v>1706534</v>
      </c>
      <c r="K10" s="19">
        <f t="shared" si="2"/>
        <v>1706534</v>
      </c>
      <c r="L10" s="118" t="s">
        <v>35</v>
      </c>
      <c r="M10" s="118"/>
    </row>
    <row r="11" spans="1:13" s="14" customFormat="1" ht="39" customHeight="1">
      <c r="A11" s="139"/>
      <c r="B11" s="128" t="s">
        <v>47</v>
      </c>
      <c r="C11" s="18" t="s">
        <v>44</v>
      </c>
      <c r="D11" s="18" t="s">
        <v>9</v>
      </c>
      <c r="E11" s="19">
        <v>0</v>
      </c>
      <c r="F11" s="19">
        <f>G11+H11+I11+J11+K11</f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19"/>
      <c r="M11" s="119"/>
    </row>
    <row r="12" spans="1:13" s="14" customFormat="1" ht="50.25" customHeight="1">
      <c r="A12" s="139"/>
      <c r="B12" s="128"/>
      <c r="C12" s="18" t="s">
        <v>44</v>
      </c>
      <c r="D12" s="18" t="s">
        <v>10</v>
      </c>
      <c r="E12" s="19">
        <v>1567098</v>
      </c>
      <c r="F12" s="19">
        <f>G12+H12+I12+J12+K12</f>
        <v>8597819</v>
      </c>
      <c r="G12" s="19">
        <f>1610943+76352-23384+54298-584</f>
        <v>1717625</v>
      </c>
      <c r="H12" s="61">
        <f>1655067+16467+194058</f>
        <v>1865592</v>
      </c>
      <c r="I12" s="19">
        <f>1655067+16467</f>
        <v>1671534</v>
      </c>
      <c r="J12" s="19">
        <f>1655067+16467</f>
        <v>1671534</v>
      </c>
      <c r="K12" s="19">
        <f>1655067+16467</f>
        <v>1671534</v>
      </c>
      <c r="L12" s="119"/>
      <c r="M12" s="119"/>
    </row>
    <row r="13" spans="1:13" s="14" customFormat="1" ht="63.75" customHeight="1">
      <c r="A13" s="139"/>
      <c r="B13" s="128"/>
      <c r="C13" s="18" t="s">
        <v>44</v>
      </c>
      <c r="D13" s="18" t="s">
        <v>11</v>
      </c>
      <c r="E13" s="19">
        <v>0</v>
      </c>
      <c r="F13" s="19">
        <f>G13+H13+I13+J13+K13</f>
        <v>486</v>
      </c>
      <c r="G13" s="19">
        <f>62+424</f>
        <v>486</v>
      </c>
      <c r="H13" s="19">
        <v>0</v>
      </c>
      <c r="I13" s="19">
        <v>0</v>
      </c>
      <c r="J13" s="19">
        <v>0</v>
      </c>
      <c r="K13" s="19">
        <v>0</v>
      </c>
      <c r="L13" s="119"/>
      <c r="M13" s="119"/>
    </row>
    <row r="14" spans="1:13" s="14" customFormat="1" ht="269.25" customHeight="1">
      <c r="A14" s="140"/>
      <c r="B14" s="129"/>
      <c r="C14" s="18" t="s">
        <v>44</v>
      </c>
      <c r="D14" s="18" t="s">
        <v>34</v>
      </c>
      <c r="E14" s="19">
        <v>0</v>
      </c>
      <c r="F14" s="19">
        <f>G14+H14+I14+J14+K14</f>
        <v>175000</v>
      </c>
      <c r="G14" s="19">
        <v>35000</v>
      </c>
      <c r="H14" s="19">
        <v>35000</v>
      </c>
      <c r="I14" s="19">
        <v>35000</v>
      </c>
      <c r="J14" s="19">
        <v>35000</v>
      </c>
      <c r="K14" s="19">
        <v>35000</v>
      </c>
      <c r="L14" s="120"/>
      <c r="M14" s="120"/>
    </row>
    <row r="15" spans="1:13" s="14" customFormat="1" ht="15" customHeight="1">
      <c r="A15" s="138" t="s">
        <v>25</v>
      </c>
      <c r="B15" s="127" t="s">
        <v>135</v>
      </c>
      <c r="C15" s="18" t="s">
        <v>44</v>
      </c>
      <c r="D15" s="18" t="s">
        <v>7</v>
      </c>
      <c r="E15" s="19">
        <f aca="true" t="shared" si="3" ref="E15:K15">E16+E17+E18+E19</f>
        <v>17805</v>
      </c>
      <c r="F15" s="19">
        <f t="shared" si="3"/>
        <v>115223</v>
      </c>
      <c r="G15" s="19">
        <f t="shared" si="3"/>
        <v>19599</v>
      </c>
      <c r="H15" s="19">
        <f t="shared" si="3"/>
        <v>23906</v>
      </c>
      <c r="I15" s="19">
        <f t="shared" si="3"/>
        <v>23906</v>
      </c>
      <c r="J15" s="19">
        <f t="shared" si="3"/>
        <v>23906</v>
      </c>
      <c r="K15" s="19">
        <f t="shared" si="3"/>
        <v>23906</v>
      </c>
      <c r="L15" s="118" t="s">
        <v>46</v>
      </c>
      <c r="M15" s="118"/>
    </row>
    <row r="16" spans="1:13" s="14" customFormat="1" ht="39.75" customHeight="1">
      <c r="A16" s="139"/>
      <c r="B16" s="128"/>
      <c r="C16" s="18" t="s">
        <v>44</v>
      </c>
      <c r="D16" s="18" t="s">
        <v>9</v>
      </c>
      <c r="E16" s="19">
        <v>0</v>
      </c>
      <c r="F16" s="19">
        <f>G16+H16+I16+J16+K16</f>
        <v>0</v>
      </c>
      <c r="G16" s="19">
        <v>0</v>
      </c>
      <c r="H16" s="19">
        <v>0</v>
      </c>
      <c r="I16" s="19">
        <v>0</v>
      </c>
      <c r="J16" s="19">
        <v>0</v>
      </c>
      <c r="K16" s="19"/>
      <c r="L16" s="119"/>
      <c r="M16" s="156"/>
    </row>
    <row r="17" spans="1:13" s="14" customFormat="1" ht="51.75" customHeight="1">
      <c r="A17" s="139"/>
      <c r="B17" s="128"/>
      <c r="C17" s="18" t="s">
        <v>44</v>
      </c>
      <c r="D17" s="18" t="s">
        <v>10</v>
      </c>
      <c r="E17" s="19">
        <v>17805</v>
      </c>
      <c r="F17" s="19">
        <f>G17+H17+I17+J17+K17</f>
        <v>115223</v>
      </c>
      <c r="G17" s="19">
        <f>17647+1961+121-130</f>
        <v>19599</v>
      </c>
      <c r="H17" s="19">
        <f>23180+726</f>
        <v>23906</v>
      </c>
      <c r="I17" s="19">
        <f>23180+726</f>
        <v>23906</v>
      </c>
      <c r="J17" s="19">
        <f>23180+726</f>
        <v>23906</v>
      </c>
      <c r="K17" s="19">
        <f>23180+726</f>
        <v>23906</v>
      </c>
      <c r="L17" s="119"/>
      <c r="M17" s="156"/>
    </row>
    <row r="18" spans="1:13" s="14" customFormat="1" ht="63.75" customHeight="1">
      <c r="A18" s="139"/>
      <c r="B18" s="128"/>
      <c r="C18" s="18" t="s">
        <v>44</v>
      </c>
      <c r="D18" s="18" t="s">
        <v>11</v>
      </c>
      <c r="E18" s="19">
        <v>0</v>
      </c>
      <c r="F18" s="19">
        <f>G18+H18+I18+J18+K18</f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19"/>
      <c r="M18" s="156"/>
    </row>
    <row r="19" spans="1:13" s="14" customFormat="1" ht="206.25" customHeight="1">
      <c r="A19" s="140"/>
      <c r="B19" s="129"/>
      <c r="C19" s="18" t="s">
        <v>44</v>
      </c>
      <c r="D19" s="18" t="s">
        <v>34</v>
      </c>
      <c r="E19" s="19">
        <v>0</v>
      </c>
      <c r="F19" s="19">
        <f>G19+H19+I19+J19+K19</f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20"/>
      <c r="M19" s="157"/>
    </row>
    <row r="20" spans="1:13" s="14" customFormat="1" ht="18.75" customHeight="1">
      <c r="A20" s="134" t="s">
        <v>20</v>
      </c>
      <c r="B20" s="130" t="s">
        <v>136</v>
      </c>
      <c r="C20" s="41" t="s">
        <v>44</v>
      </c>
      <c r="D20" s="41" t="s">
        <v>7</v>
      </c>
      <c r="E20" s="42">
        <f aca="true" t="shared" si="4" ref="E20:K20">E21+E22+E23+E24</f>
        <v>313256.5</v>
      </c>
      <c r="F20" s="19">
        <f>F21+F22+F23+F24</f>
        <v>1363787.9000000001</v>
      </c>
      <c r="G20" s="19">
        <f t="shared" si="4"/>
        <v>244592.83000000002</v>
      </c>
      <c r="H20" s="19">
        <f t="shared" si="4"/>
        <v>274946.17</v>
      </c>
      <c r="I20" s="19">
        <f t="shared" si="4"/>
        <v>281416.3</v>
      </c>
      <c r="J20" s="19">
        <f t="shared" si="4"/>
        <v>281416.3</v>
      </c>
      <c r="K20" s="19">
        <f t="shared" si="4"/>
        <v>281416.3</v>
      </c>
      <c r="L20" s="118" t="s">
        <v>18</v>
      </c>
      <c r="M20" s="118"/>
    </row>
    <row r="21" spans="1:13" s="14" customFormat="1" ht="38.25" customHeight="1">
      <c r="A21" s="135"/>
      <c r="B21" s="160"/>
      <c r="C21" s="41" t="s">
        <v>44</v>
      </c>
      <c r="D21" s="41" t="s">
        <v>9</v>
      </c>
      <c r="E21" s="42">
        <v>0</v>
      </c>
      <c r="F21" s="19">
        <f>G21+H21+I21+J21+K21</f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19"/>
      <c r="M21" s="119"/>
    </row>
    <row r="22" spans="1:13" s="14" customFormat="1" ht="50.25" customHeight="1">
      <c r="A22" s="135"/>
      <c r="B22" s="160"/>
      <c r="C22" s="41" t="s">
        <v>44</v>
      </c>
      <c r="D22" s="41" t="s">
        <v>10</v>
      </c>
      <c r="E22" s="42">
        <v>0</v>
      </c>
      <c r="F22" s="19">
        <f>G22+H22+I22+J22+K22</f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19"/>
      <c r="M22" s="119"/>
    </row>
    <row r="23" spans="1:13" s="14" customFormat="1" ht="63" customHeight="1">
      <c r="A23" s="135"/>
      <c r="B23" s="160"/>
      <c r="C23" s="41" t="s">
        <v>44</v>
      </c>
      <c r="D23" s="41" t="s">
        <v>11</v>
      </c>
      <c r="E23" s="42">
        <v>294995.5</v>
      </c>
      <c r="F23" s="19">
        <f>G23+H23+I23+J23+K23</f>
        <v>1350787.9000000001</v>
      </c>
      <c r="G23" s="19">
        <f>262120.6-5100-7000-2517+436.17-76.44-100-459.5-424-8836+400+3149</f>
        <v>241592.83000000002</v>
      </c>
      <c r="H23" s="61">
        <f>254354+3014.3-8911.5+13505-400.05+176+403.62+8043+130.1+452.4+1500+179.3</f>
        <v>272446.17</v>
      </c>
      <c r="I23" s="19">
        <f>254354+56794.3-56794.3+3014.3+13505+8043</f>
        <v>278916.3</v>
      </c>
      <c r="J23" s="19">
        <f>254354+56794.3-56794.3+3014.3+13505+8043</f>
        <v>278916.3</v>
      </c>
      <c r="K23" s="19">
        <f>254354+56794.3-56794.3+3014.3+13505+8043</f>
        <v>278916.3</v>
      </c>
      <c r="L23" s="119"/>
      <c r="M23" s="119"/>
    </row>
    <row r="24" spans="1:13" s="14" customFormat="1" ht="34.5" customHeight="1">
      <c r="A24" s="136"/>
      <c r="B24" s="161"/>
      <c r="C24" s="41" t="s">
        <v>44</v>
      </c>
      <c r="D24" s="41" t="s">
        <v>34</v>
      </c>
      <c r="E24" s="42">
        <v>18261</v>
      </c>
      <c r="F24" s="19">
        <f>G24+H24+I24+J24+K24</f>
        <v>13000</v>
      </c>
      <c r="G24" s="19">
        <f>18700+5000-20700</f>
        <v>3000</v>
      </c>
      <c r="H24" s="19">
        <f>18700-16200</f>
        <v>2500</v>
      </c>
      <c r="I24" s="19">
        <f>18700-16200</f>
        <v>2500</v>
      </c>
      <c r="J24" s="19">
        <f>18700-16200</f>
        <v>2500</v>
      </c>
      <c r="K24" s="19">
        <f>18700-16200</f>
        <v>2500</v>
      </c>
      <c r="L24" s="120"/>
      <c r="M24" s="120"/>
    </row>
    <row r="25" spans="1:13" s="14" customFormat="1" ht="25.5" customHeight="1">
      <c r="A25" s="134" t="s">
        <v>93</v>
      </c>
      <c r="B25" s="112" t="s">
        <v>120</v>
      </c>
      <c r="C25" s="41" t="s">
        <v>44</v>
      </c>
      <c r="D25" s="41" t="s">
        <v>7</v>
      </c>
      <c r="E25" s="19">
        <f>E26+E27+E28+E29</f>
        <v>20918.43</v>
      </c>
      <c r="F25" s="19">
        <f aca="true" t="shared" si="5" ref="F25:K25">F26+F27+F28+F29</f>
        <v>42570</v>
      </c>
      <c r="G25" s="19">
        <f t="shared" si="5"/>
        <v>12190.2</v>
      </c>
      <c r="H25" s="19">
        <f t="shared" si="5"/>
        <v>19279.8</v>
      </c>
      <c r="I25" s="19">
        <f t="shared" si="5"/>
        <v>3700</v>
      </c>
      <c r="J25" s="19">
        <f t="shared" si="5"/>
        <v>3700</v>
      </c>
      <c r="K25" s="19">
        <f t="shared" si="5"/>
        <v>3700</v>
      </c>
      <c r="L25" s="45"/>
      <c r="M25" s="44"/>
    </row>
    <row r="26" spans="1:13" s="14" customFormat="1" ht="39" customHeight="1">
      <c r="A26" s="105"/>
      <c r="B26" s="164"/>
      <c r="C26" s="41" t="s">
        <v>44</v>
      </c>
      <c r="D26" s="41" t="s">
        <v>9</v>
      </c>
      <c r="E26" s="42">
        <v>0</v>
      </c>
      <c r="F26" s="19">
        <f>G26+H26+I26+J26+K26</f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45"/>
      <c r="M26" s="45"/>
    </row>
    <row r="27" spans="1:13" s="14" customFormat="1" ht="50.25" customHeight="1">
      <c r="A27" s="105"/>
      <c r="B27" s="164"/>
      <c r="C27" s="41" t="s">
        <v>44</v>
      </c>
      <c r="D27" s="41" t="s">
        <v>10</v>
      </c>
      <c r="E27" s="42">
        <v>0</v>
      </c>
      <c r="F27" s="19">
        <f>G27+H27+I27+J27+K27</f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45"/>
      <c r="M27" s="45"/>
    </row>
    <row r="28" spans="1:13" s="14" customFormat="1" ht="61.5" customHeight="1">
      <c r="A28" s="105"/>
      <c r="B28" s="164"/>
      <c r="C28" s="41" t="s">
        <v>44</v>
      </c>
      <c r="D28" s="41" t="s">
        <v>11</v>
      </c>
      <c r="E28" s="42">
        <v>20918.43</v>
      </c>
      <c r="F28" s="19">
        <f>G28+H28+I28+J28+K28</f>
        <v>22270</v>
      </c>
      <c r="G28" s="19">
        <f>4976.7+1713.5</f>
        <v>6690.2</v>
      </c>
      <c r="H28" s="61">
        <f>5251.6+5978.2+4350</f>
        <v>15579.8</v>
      </c>
      <c r="I28" s="19">
        <v>0</v>
      </c>
      <c r="J28" s="19">
        <v>0</v>
      </c>
      <c r="K28" s="19">
        <v>0</v>
      </c>
      <c r="L28" s="45"/>
      <c r="M28" s="45"/>
    </row>
    <row r="29" spans="1:13" s="14" customFormat="1" ht="27" customHeight="1">
      <c r="A29" s="106"/>
      <c r="B29" s="165"/>
      <c r="C29" s="41" t="s">
        <v>44</v>
      </c>
      <c r="D29" s="41" t="s">
        <v>34</v>
      </c>
      <c r="E29" s="42">
        <v>0</v>
      </c>
      <c r="F29" s="19">
        <f>G29+H29+I29+J29+K29</f>
        <v>20300</v>
      </c>
      <c r="G29" s="19">
        <v>5500</v>
      </c>
      <c r="H29" s="19">
        <v>3700</v>
      </c>
      <c r="I29" s="19">
        <v>3700</v>
      </c>
      <c r="J29" s="19">
        <v>3700</v>
      </c>
      <c r="K29" s="19">
        <v>3700</v>
      </c>
      <c r="L29" s="45"/>
      <c r="M29" s="46"/>
    </row>
    <row r="30" spans="1:13" s="14" customFormat="1" ht="21.75" customHeight="1">
      <c r="A30" s="134" t="s">
        <v>92</v>
      </c>
      <c r="B30" s="127" t="s">
        <v>137</v>
      </c>
      <c r="C30" s="41" t="s">
        <v>44</v>
      </c>
      <c r="D30" s="41" t="s">
        <v>7</v>
      </c>
      <c r="E30" s="42">
        <f>E31+E32+E33+E34</f>
        <v>0</v>
      </c>
      <c r="F30" s="42">
        <f aca="true" t="shared" si="6" ref="F30:K30">F31+F32+F33+F34</f>
        <v>303338.74</v>
      </c>
      <c r="G30" s="42">
        <f t="shared" si="6"/>
        <v>53851.7</v>
      </c>
      <c r="H30" s="42">
        <f t="shared" si="6"/>
        <v>63337.04</v>
      </c>
      <c r="I30" s="42">
        <f t="shared" si="6"/>
        <v>62050</v>
      </c>
      <c r="J30" s="42">
        <f t="shared" si="6"/>
        <v>62050</v>
      </c>
      <c r="K30" s="42">
        <f t="shared" si="6"/>
        <v>62050</v>
      </c>
      <c r="L30" s="118" t="s">
        <v>18</v>
      </c>
      <c r="M30" s="44"/>
    </row>
    <row r="31" spans="1:13" s="14" customFormat="1" ht="38.25" customHeight="1">
      <c r="A31" s="178"/>
      <c r="B31" s="176"/>
      <c r="C31" s="41" t="s">
        <v>44</v>
      </c>
      <c r="D31" s="41" t="s">
        <v>9</v>
      </c>
      <c r="E31" s="42">
        <v>0</v>
      </c>
      <c r="F31" s="19">
        <f>G31+H31+I31+J31+K31</f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19"/>
      <c r="M31" s="45"/>
    </row>
    <row r="32" spans="1:13" s="14" customFormat="1" ht="49.5" customHeight="1">
      <c r="A32" s="178"/>
      <c r="B32" s="176"/>
      <c r="C32" s="41" t="s">
        <v>44</v>
      </c>
      <c r="D32" s="41" t="s">
        <v>10</v>
      </c>
      <c r="E32" s="42">
        <v>0</v>
      </c>
      <c r="F32" s="19">
        <f>G32+H32+I32+J32+K32</f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19"/>
      <c r="M32" s="45"/>
    </row>
    <row r="33" spans="1:13" s="14" customFormat="1" ht="62.25" customHeight="1">
      <c r="A33" s="178"/>
      <c r="B33" s="176"/>
      <c r="C33" s="41" t="s">
        <v>44</v>
      </c>
      <c r="D33" s="41" t="s">
        <v>11</v>
      </c>
      <c r="E33" s="42">
        <v>0</v>
      </c>
      <c r="F33" s="19">
        <f>G33+H33+I33+J33+K33</f>
        <v>303338.74</v>
      </c>
      <c r="G33" s="19">
        <f>54385-533.3</f>
        <v>53851.7</v>
      </c>
      <c r="H33" s="19">
        <f>56794.3-0.3-411.01+1298+5256+400.05</f>
        <v>63337.04</v>
      </c>
      <c r="I33" s="19">
        <f>56794.3-0.3+5256</f>
        <v>62050</v>
      </c>
      <c r="J33" s="19">
        <f>56794.3-0.3+5256</f>
        <v>62050</v>
      </c>
      <c r="K33" s="19">
        <f>56794.3-0.3+5256</f>
        <v>62050</v>
      </c>
      <c r="L33" s="119"/>
      <c r="M33" s="45"/>
    </row>
    <row r="34" spans="1:13" s="14" customFormat="1" ht="27.75" customHeight="1">
      <c r="A34" s="179"/>
      <c r="B34" s="177"/>
      <c r="C34" s="41" t="s">
        <v>44</v>
      </c>
      <c r="D34" s="41" t="s">
        <v>34</v>
      </c>
      <c r="E34" s="42">
        <v>0</v>
      </c>
      <c r="F34" s="19">
        <f>G34+H34+I34+J34+K34</f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20"/>
      <c r="M34" s="46"/>
    </row>
    <row r="35" spans="1:13" s="14" customFormat="1" ht="27.75" customHeight="1">
      <c r="A35" s="137" t="s">
        <v>95</v>
      </c>
      <c r="B35" s="155" t="s">
        <v>138</v>
      </c>
      <c r="C35" s="41" t="s">
        <v>44</v>
      </c>
      <c r="D35" s="41" t="s">
        <v>7</v>
      </c>
      <c r="E35" s="42">
        <f>E36</f>
        <v>4358.7</v>
      </c>
      <c r="F35" s="42">
        <f aca="true" t="shared" si="7" ref="F35:K35">F36</f>
        <v>58319.5</v>
      </c>
      <c r="G35" s="42">
        <f t="shared" si="7"/>
        <v>5559.5</v>
      </c>
      <c r="H35" s="42">
        <f t="shared" si="7"/>
        <v>13190</v>
      </c>
      <c r="I35" s="42">
        <f t="shared" si="7"/>
        <v>13190</v>
      </c>
      <c r="J35" s="42">
        <f t="shared" si="7"/>
        <v>13190</v>
      </c>
      <c r="K35" s="42">
        <f t="shared" si="7"/>
        <v>13190</v>
      </c>
      <c r="L35" s="118" t="s">
        <v>18</v>
      </c>
      <c r="M35" s="118"/>
    </row>
    <row r="36" spans="1:13" s="14" customFormat="1" ht="64.5" customHeight="1">
      <c r="A36" s="75"/>
      <c r="B36" s="165"/>
      <c r="C36" s="41" t="s">
        <v>44</v>
      </c>
      <c r="D36" s="41" t="s">
        <v>11</v>
      </c>
      <c r="E36" s="42">
        <v>4358.7</v>
      </c>
      <c r="F36" s="19">
        <f>G36+H36+I36+J36+K36</f>
        <v>58319.5</v>
      </c>
      <c r="G36" s="19">
        <f>5100+459.5</f>
        <v>5559.5</v>
      </c>
      <c r="H36" s="19">
        <f>6156+7034</f>
        <v>13190</v>
      </c>
      <c r="I36" s="19">
        <f>6156+7034</f>
        <v>13190</v>
      </c>
      <c r="J36" s="19">
        <f>6156+7034</f>
        <v>13190</v>
      </c>
      <c r="K36" s="19">
        <f>6156+7034</f>
        <v>13190</v>
      </c>
      <c r="L36" s="71"/>
      <c r="M36" s="71"/>
    </row>
    <row r="37" spans="1:13" s="14" customFormat="1" ht="27.75" customHeight="1">
      <c r="A37" s="63" t="s">
        <v>108</v>
      </c>
      <c r="B37" s="121" t="s">
        <v>139</v>
      </c>
      <c r="C37" s="41" t="s">
        <v>44</v>
      </c>
      <c r="D37" s="41" t="s">
        <v>7</v>
      </c>
      <c r="E37" s="42">
        <f>E38+E39+E40+E41</f>
        <v>0</v>
      </c>
      <c r="F37" s="42">
        <f aca="true" t="shared" si="8" ref="F37:K37">F38+F39+F40+F41</f>
        <v>322270</v>
      </c>
      <c r="G37" s="42">
        <f t="shared" si="8"/>
        <v>24790</v>
      </c>
      <c r="H37" s="42">
        <f t="shared" si="8"/>
        <v>74370</v>
      </c>
      <c r="I37" s="42">
        <f t="shared" si="8"/>
        <v>74370</v>
      </c>
      <c r="J37" s="42">
        <f t="shared" si="8"/>
        <v>74370</v>
      </c>
      <c r="K37" s="42">
        <f t="shared" si="8"/>
        <v>74370</v>
      </c>
      <c r="L37" s="109" t="s">
        <v>18</v>
      </c>
      <c r="M37" s="45"/>
    </row>
    <row r="38" spans="1:13" s="14" customFormat="1" ht="36" customHeight="1">
      <c r="A38" s="105"/>
      <c r="B38" s="122"/>
      <c r="C38" s="41" t="s">
        <v>44</v>
      </c>
      <c r="D38" s="41" t="s">
        <v>9</v>
      </c>
      <c r="E38" s="42">
        <v>0</v>
      </c>
      <c r="F38" s="19">
        <f>G38+H38+I38+J38+K38</f>
        <v>322270</v>
      </c>
      <c r="G38" s="19">
        <f>23384+1406</f>
        <v>24790</v>
      </c>
      <c r="H38" s="19">
        <v>74370</v>
      </c>
      <c r="I38" s="19">
        <v>74370</v>
      </c>
      <c r="J38" s="19">
        <v>74370</v>
      </c>
      <c r="K38" s="19">
        <v>74370</v>
      </c>
      <c r="L38" s="76"/>
      <c r="M38" s="45"/>
    </row>
    <row r="39" spans="1:13" s="14" customFormat="1" ht="48.75" customHeight="1">
      <c r="A39" s="105"/>
      <c r="B39" s="122"/>
      <c r="C39" s="41" t="s">
        <v>44</v>
      </c>
      <c r="D39" s="41" t="s">
        <v>10</v>
      </c>
      <c r="E39" s="42">
        <v>0</v>
      </c>
      <c r="F39" s="19">
        <f>G39+H39+I39+J39+K39</f>
        <v>0</v>
      </c>
      <c r="G39" s="19">
        <f>23384-23384</f>
        <v>0</v>
      </c>
      <c r="H39" s="19">
        <f>70152-70152</f>
        <v>0</v>
      </c>
      <c r="I39" s="19">
        <f>70152-70152</f>
        <v>0</v>
      </c>
      <c r="J39" s="19">
        <v>0</v>
      </c>
      <c r="K39" s="19">
        <v>0</v>
      </c>
      <c r="L39" s="76"/>
      <c r="M39" s="45"/>
    </row>
    <row r="40" spans="1:13" s="14" customFormat="1" ht="62.25" customHeight="1">
      <c r="A40" s="105"/>
      <c r="B40" s="122"/>
      <c r="C40" s="41" t="s">
        <v>44</v>
      </c>
      <c r="D40" s="41" t="s">
        <v>11</v>
      </c>
      <c r="E40" s="42">
        <v>0</v>
      </c>
      <c r="F40" s="19">
        <f>G40+H40+I40+J40+K40</f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76"/>
      <c r="M40" s="45"/>
    </row>
    <row r="41" spans="1:13" s="14" customFormat="1" ht="365.25" customHeight="1">
      <c r="A41" s="106"/>
      <c r="B41" s="123"/>
      <c r="C41" s="41" t="s">
        <v>44</v>
      </c>
      <c r="D41" s="41" t="s">
        <v>34</v>
      </c>
      <c r="E41" s="42">
        <v>0</v>
      </c>
      <c r="F41" s="19">
        <f>G41+H41+I41+J41+K41</f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77"/>
      <c r="M41" s="45"/>
    </row>
    <row r="42" spans="1:13" s="14" customFormat="1" ht="22.5" customHeight="1">
      <c r="A42" s="134" t="s">
        <v>28</v>
      </c>
      <c r="B42" s="130" t="s">
        <v>118</v>
      </c>
      <c r="C42" s="41" t="s">
        <v>44</v>
      </c>
      <c r="D42" s="41" t="s">
        <v>7</v>
      </c>
      <c r="E42" s="42">
        <f aca="true" t="shared" si="9" ref="E42:K42">E43+E44+E45+E46</f>
        <v>117558</v>
      </c>
      <c r="F42" s="53">
        <f t="shared" si="9"/>
        <v>1075498.14</v>
      </c>
      <c r="G42" s="53">
        <f t="shared" si="9"/>
        <v>141144.37</v>
      </c>
      <c r="H42" s="19">
        <f t="shared" si="9"/>
        <v>226689.35</v>
      </c>
      <c r="I42" s="19">
        <f t="shared" si="9"/>
        <v>235768.18</v>
      </c>
      <c r="J42" s="19">
        <f t="shared" si="9"/>
        <v>235947.78999999998</v>
      </c>
      <c r="K42" s="19">
        <f t="shared" si="9"/>
        <v>235948.45</v>
      </c>
      <c r="L42" s="118" t="s">
        <v>18</v>
      </c>
      <c r="M42" s="118" t="s">
        <v>178</v>
      </c>
    </row>
    <row r="43" spans="1:13" s="14" customFormat="1" ht="38.25" customHeight="1">
      <c r="A43" s="135"/>
      <c r="B43" s="158"/>
      <c r="C43" s="41" t="s">
        <v>44</v>
      </c>
      <c r="D43" s="41" t="s">
        <v>9</v>
      </c>
      <c r="E43" s="42">
        <f>E48+E53+E58+E63</f>
        <v>0</v>
      </c>
      <c r="F43" s="53">
        <f>G43+H43+I43+J43+K43</f>
        <v>263366.337</v>
      </c>
      <c r="G43" s="53">
        <f aca="true" t="shared" si="10" ref="G43:K46">G48+G53+G58+G63+G68+G73+G78</f>
        <v>28289.747</v>
      </c>
      <c r="H43" s="19">
        <f t="shared" si="10"/>
        <v>73130.21</v>
      </c>
      <c r="I43" s="19">
        <f t="shared" si="10"/>
        <v>80922.9</v>
      </c>
      <c r="J43" s="19">
        <f t="shared" si="10"/>
        <v>81023.48</v>
      </c>
      <c r="K43" s="19">
        <f t="shared" si="10"/>
        <v>0</v>
      </c>
      <c r="L43" s="119"/>
      <c r="M43" s="119"/>
    </row>
    <row r="44" spans="1:13" s="14" customFormat="1" ht="51.75" customHeight="1">
      <c r="A44" s="135"/>
      <c r="B44" s="158"/>
      <c r="C44" s="41" t="s">
        <v>44</v>
      </c>
      <c r="D44" s="41" t="s">
        <v>10</v>
      </c>
      <c r="E44" s="42">
        <f>E49+E54+E59+E64</f>
        <v>117558</v>
      </c>
      <c r="F44" s="53">
        <f>G44+H44+I44+J44+K44</f>
        <v>644367.363</v>
      </c>
      <c r="G44" s="53">
        <f t="shared" si="10"/>
        <v>110166.253</v>
      </c>
      <c r="H44" s="19">
        <f t="shared" si="10"/>
        <v>130701.29</v>
      </c>
      <c r="I44" s="19">
        <f t="shared" si="10"/>
        <v>110670.64</v>
      </c>
      <c r="J44" s="19">
        <f t="shared" si="10"/>
        <v>108448.18</v>
      </c>
      <c r="K44" s="19">
        <f t="shared" si="10"/>
        <v>184381</v>
      </c>
      <c r="L44" s="119"/>
      <c r="M44" s="119"/>
    </row>
    <row r="45" spans="1:13" s="14" customFormat="1" ht="66" customHeight="1">
      <c r="A45" s="135"/>
      <c r="B45" s="158"/>
      <c r="C45" s="41" t="s">
        <v>44</v>
      </c>
      <c r="D45" s="41" t="s">
        <v>11</v>
      </c>
      <c r="E45" s="42">
        <f>E50+E55+E60+E65</f>
        <v>0</v>
      </c>
      <c r="F45" s="19">
        <f>G45+H45+I45+J45+K45</f>
        <v>167764.44</v>
      </c>
      <c r="G45" s="53">
        <f t="shared" si="10"/>
        <v>2688.37</v>
      </c>
      <c r="H45" s="19">
        <f>H50+H55+H60+H65+H70+H75+H80</f>
        <v>22857.85</v>
      </c>
      <c r="I45" s="19">
        <f>I50+I55+I60+I65+I70+I75+I80</f>
        <v>44174.64</v>
      </c>
      <c r="J45" s="19">
        <f t="shared" si="10"/>
        <v>46476.130000000005</v>
      </c>
      <c r="K45" s="19">
        <f t="shared" si="10"/>
        <v>51567.45</v>
      </c>
      <c r="L45" s="119"/>
      <c r="M45" s="119"/>
    </row>
    <row r="46" spans="1:13" s="14" customFormat="1" ht="409.5" customHeight="1">
      <c r="A46" s="136"/>
      <c r="B46" s="159"/>
      <c r="C46" s="41" t="s">
        <v>44</v>
      </c>
      <c r="D46" s="41" t="s">
        <v>34</v>
      </c>
      <c r="E46" s="42">
        <f>E51+E56+E61+E66</f>
        <v>0</v>
      </c>
      <c r="F46" s="19">
        <f>G46+H46+I46+J46+K46</f>
        <v>0</v>
      </c>
      <c r="G46" s="19">
        <f t="shared" si="10"/>
        <v>0</v>
      </c>
      <c r="H46" s="19">
        <f t="shared" si="10"/>
        <v>0</v>
      </c>
      <c r="I46" s="19">
        <f t="shared" si="10"/>
        <v>0</v>
      </c>
      <c r="J46" s="19">
        <f t="shared" si="10"/>
        <v>0</v>
      </c>
      <c r="K46" s="19">
        <f t="shared" si="10"/>
        <v>0</v>
      </c>
      <c r="L46" s="120"/>
      <c r="M46" s="120"/>
    </row>
    <row r="47" spans="1:13" s="14" customFormat="1" ht="24" customHeight="1">
      <c r="A47" s="138" t="s">
        <v>40</v>
      </c>
      <c r="B47" s="127" t="s">
        <v>140</v>
      </c>
      <c r="C47" s="18" t="s">
        <v>44</v>
      </c>
      <c r="D47" s="18" t="s">
        <v>7</v>
      </c>
      <c r="E47" s="19">
        <f aca="true" t="shared" si="11" ref="E47:K47">E48+E49+E50+E51</f>
        <v>7568</v>
      </c>
      <c r="F47" s="19">
        <f>F48+F49+F50+F51</f>
        <v>43528</v>
      </c>
      <c r="G47" s="19">
        <f t="shared" si="11"/>
        <v>8648</v>
      </c>
      <c r="H47" s="19">
        <f t="shared" si="11"/>
        <v>8720</v>
      </c>
      <c r="I47" s="19">
        <f t="shared" si="11"/>
        <v>8720</v>
      </c>
      <c r="J47" s="19">
        <f t="shared" si="11"/>
        <v>8720</v>
      </c>
      <c r="K47" s="19">
        <f t="shared" si="11"/>
        <v>8720</v>
      </c>
      <c r="L47" s="118" t="s">
        <v>57</v>
      </c>
      <c r="M47" s="118"/>
    </row>
    <row r="48" spans="1:13" s="14" customFormat="1" ht="37.5" customHeight="1">
      <c r="A48" s="139"/>
      <c r="B48" s="128"/>
      <c r="C48" s="18" t="s">
        <v>44</v>
      </c>
      <c r="D48" s="18" t="s">
        <v>9</v>
      </c>
      <c r="E48" s="19">
        <v>0</v>
      </c>
      <c r="F48" s="19">
        <f>G48+H48+I48+J48+K48</f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19"/>
      <c r="M48" s="119"/>
    </row>
    <row r="49" spans="1:13" s="14" customFormat="1" ht="52.5" customHeight="1">
      <c r="A49" s="139"/>
      <c r="B49" s="128"/>
      <c r="C49" s="18" t="s">
        <v>44</v>
      </c>
      <c r="D49" s="18" t="s">
        <v>10</v>
      </c>
      <c r="E49" s="19">
        <v>7568</v>
      </c>
      <c r="F49" s="19">
        <f>G49+H49+I49+J49+K49</f>
        <v>43528</v>
      </c>
      <c r="G49" s="19">
        <v>8648</v>
      </c>
      <c r="H49" s="19">
        <v>8720</v>
      </c>
      <c r="I49" s="19">
        <v>8720</v>
      </c>
      <c r="J49" s="19">
        <v>8720</v>
      </c>
      <c r="K49" s="19">
        <v>8720</v>
      </c>
      <c r="L49" s="119"/>
      <c r="M49" s="119"/>
    </row>
    <row r="50" spans="1:13" s="14" customFormat="1" ht="65.25" customHeight="1">
      <c r="A50" s="139"/>
      <c r="B50" s="128"/>
      <c r="C50" s="18" t="s">
        <v>44</v>
      </c>
      <c r="D50" s="18" t="s">
        <v>11</v>
      </c>
      <c r="E50" s="19">
        <v>0</v>
      </c>
      <c r="F50" s="19">
        <f>G50+H50+I50+J50+K50</f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19"/>
      <c r="M50" s="119"/>
    </row>
    <row r="51" spans="1:13" s="14" customFormat="1" ht="33" customHeight="1">
      <c r="A51" s="140"/>
      <c r="B51" s="129"/>
      <c r="C51" s="18" t="s">
        <v>44</v>
      </c>
      <c r="D51" s="18" t="s">
        <v>34</v>
      </c>
      <c r="E51" s="19">
        <v>0</v>
      </c>
      <c r="F51" s="19">
        <f>G51+H51+I51+J51+K51</f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20"/>
      <c r="M51" s="120"/>
    </row>
    <row r="52" spans="1:13" s="14" customFormat="1" ht="21.75" customHeight="1">
      <c r="A52" s="141" t="s">
        <v>45</v>
      </c>
      <c r="B52" s="130" t="s">
        <v>159</v>
      </c>
      <c r="C52" s="41" t="s">
        <v>44</v>
      </c>
      <c r="D52" s="41" t="s">
        <v>7</v>
      </c>
      <c r="E52" s="42">
        <f aca="true" t="shared" si="12" ref="E52:K52">E53+E54+E55+E56</f>
        <v>109705</v>
      </c>
      <c r="F52" s="42">
        <f>F53+F54+F55+F56</f>
        <v>79880</v>
      </c>
      <c r="G52" s="42">
        <f t="shared" si="12"/>
        <v>79880</v>
      </c>
      <c r="H52" s="42">
        <f t="shared" si="12"/>
        <v>0</v>
      </c>
      <c r="I52" s="42">
        <f t="shared" si="12"/>
        <v>0</v>
      </c>
      <c r="J52" s="42">
        <f t="shared" si="12"/>
        <v>0</v>
      </c>
      <c r="K52" s="42">
        <f t="shared" si="12"/>
        <v>0</v>
      </c>
      <c r="L52" s="118" t="s">
        <v>18</v>
      </c>
      <c r="M52" s="118"/>
    </row>
    <row r="53" spans="1:13" s="14" customFormat="1" ht="40.5" customHeight="1">
      <c r="A53" s="142"/>
      <c r="B53" s="158"/>
      <c r="C53" s="41" t="s">
        <v>44</v>
      </c>
      <c r="D53" s="41" t="s">
        <v>9</v>
      </c>
      <c r="E53" s="42">
        <v>0</v>
      </c>
      <c r="F53" s="42">
        <f aca="true" t="shared" si="13" ref="F53:F61">G53+H53+I53+J53+K53</f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119"/>
      <c r="M53" s="119"/>
    </row>
    <row r="54" spans="1:13" s="14" customFormat="1" ht="51.75" customHeight="1">
      <c r="A54" s="142"/>
      <c r="B54" s="158"/>
      <c r="C54" s="41" t="s">
        <v>44</v>
      </c>
      <c r="D54" s="41" t="s">
        <v>10</v>
      </c>
      <c r="E54" s="42">
        <v>109705</v>
      </c>
      <c r="F54" s="42">
        <f t="shared" si="13"/>
        <v>79880</v>
      </c>
      <c r="G54" s="42">
        <f>112472-47934+34834+49769-49769-21203+1711</f>
        <v>79880</v>
      </c>
      <c r="H54" s="42">
        <v>0</v>
      </c>
      <c r="I54" s="42">
        <v>0</v>
      </c>
      <c r="J54" s="42">
        <v>0</v>
      </c>
      <c r="K54" s="42">
        <v>0</v>
      </c>
      <c r="L54" s="119"/>
      <c r="M54" s="119"/>
    </row>
    <row r="55" spans="1:13" s="14" customFormat="1" ht="64.5" customHeight="1">
      <c r="A55" s="142"/>
      <c r="B55" s="158"/>
      <c r="C55" s="41" t="s">
        <v>44</v>
      </c>
      <c r="D55" s="41" t="s">
        <v>11</v>
      </c>
      <c r="E55" s="42">
        <v>0</v>
      </c>
      <c r="F55" s="42">
        <f t="shared" si="13"/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119"/>
      <c r="M55" s="119"/>
    </row>
    <row r="56" spans="1:13" s="14" customFormat="1" ht="127.5" customHeight="1">
      <c r="A56" s="143"/>
      <c r="B56" s="159"/>
      <c r="C56" s="41" t="s">
        <v>44</v>
      </c>
      <c r="D56" s="41" t="s">
        <v>34</v>
      </c>
      <c r="E56" s="42">
        <v>0</v>
      </c>
      <c r="F56" s="42">
        <f t="shared" si="13"/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120"/>
      <c r="M56" s="120"/>
    </row>
    <row r="57" spans="1:13" s="14" customFormat="1" ht="21.75" customHeight="1">
      <c r="A57" s="141" t="s">
        <v>102</v>
      </c>
      <c r="B57" s="130" t="s">
        <v>141</v>
      </c>
      <c r="C57" s="41" t="s">
        <v>44</v>
      </c>
      <c r="D57" s="41" t="s">
        <v>7</v>
      </c>
      <c r="E57" s="42">
        <f aca="true" t="shared" si="14" ref="E57:K57">E58+E59+E60+E61</f>
        <v>285</v>
      </c>
      <c r="F57" s="42">
        <f t="shared" si="13"/>
        <v>986</v>
      </c>
      <c r="G57" s="42">
        <f t="shared" si="14"/>
        <v>90</v>
      </c>
      <c r="H57" s="42">
        <f t="shared" si="14"/>
        <v>224</v>
      </c>
      <c r="I57" s="19">
        <f t="shared" si="14"/>
        <v>224</v>
      </c>
      <c r="J57" s="19">
        <f t="shared" si="14"/>
        <v>224</v>
      </c>
      <c r="K57" s="19">
        <f t="shared" si="14"/>
        <v>224</v>
      </c>
      <c r="L57" s="127" t="s">
        <v>18</v>
      </c>
      <c r="M57" s="118"/>
    </row>
    <row r="58" spans="1:13" s="14" customFormat="1" ht="40.5" customHeight="1">
      <c r="A58" s="142"/>
      <c r="B58" s="158"/>
      <c r="C58" s="41" t="s">
        <v>44</v>
      </c>
      <c r="D58" s="41" t="s">
        <v>9</v>
      </c>
      <c r="E58" s="42">
        <v>0</v>
      </c>
      <c r="F58" s="42">
        <f t="shared" si="13"/>
        <v>0</v>
      </c>
      <c r="G58" s="42">
        <v>0</v>
      </c>
      <c r="H58" s="42">
        <v>0</v>
      </c>
      <c r="I58" s="19">
        <v>0</v>
      </c>
      <c r="J58" s="19">
        <v>0</v>
      </c>
      <c r="K58" s="19">
        <v>0</v>
      </c>
      <c r="L58" s="128"/>
      <c r="M58" s="119"/>
    </row>
    <row r="59" spans="1:13" s="14" customFormat="1" ht="51.75" customHeight="1">
      <c r="A59" s="142"/>
      <c r="B59" s="158"/>
      <c r="C59" s="41" t="s">
        <v>44</v>
      </c>
      <c r="D59" s="41" t="s">
        <v>10</v>
      </c>
      <c r="E59" s="42">
        <v>285</v>
      </c>
      <c r="F59" s="42">
        <f t="shared" si="13"/>
        <v>986</v>
      </c>
      <c r="G59" s="42">
        <f>278-188</f>
        <v>90</v>
      </c>
      <c r="H59" s="42">
        <v>224</v>
      </c>
      <c r="I59" s="42">
        <v>224</v>
      </c>
      <c r="J59" s="42">
        <v>224</v>
      </c>
      <c r="K59" s="42">
        <v>224</v>
      </c>
      <c r="L59" s="128"/>
      <c r="M59" s="119"/>
    </row>
    <row r="60" spans="1:13" s="14" customFormat="1" ht="64.5" customHeight="1">
      <c r="A60" s="142"/>
      <c r="B60" s="158"/>
      <c r="C60" s="41" t="s">
        <v>44</v>
      </c>
      <c r="D60" s="41" t="s">
        <v>11</v>
      </c>
      <c r="E60" s="42">
        <v>0</v>
      </c>
      <c r="F60" s="42">
        <f t="shared" si="13"/>
        <v>0</v>
      </c>
      <c r="G60" s="42">
        <v>0</v>
      </c>
      <c r="H60" s="42">
        <v>0</v>
      </c>
      <c r="I60" s="19">
        <v>0</v>
      </c>
      <c r="J60" s="19">
        <v>0</v>
      </c>
      <c r="K60" s="19">
        <v>0</v>
      </c>
      <c r="L60" s="128"/>
      <c r="M60" s="119"/>
    </row>
    <row r="61" spans="1:13" s="14" customFormat="1" ht="27" customHeight="1">
      <c r="A61" s="143"/>
      <c r="B61" s="159"/>
      <c r="C61" s="41" t="s">
        <v>44</v>
      </c>
      <c r="D61" s="41" t="s">
        <v>34</v>
      </c>
      <c r="E61" s="42">
        <v>0</v>
      </c>
      <c r="F61" s="42">
        <f t="shared" si="13"/>
        <v>0</v>
      </c>
      <c r="G61" s="42">
        <v>0</v>
      </c>
      <c r="H61" s="42">
        <v>0</v>
      </c>
      <c r="I61" s="19">
        <v>0</v>
      </c>
      <c r="J61" s="19">
        <v>0</v>
      </c>
      <c r="K61" s="19">
        <v>0</v>
      </c>
      <c r="L61" s="129"/>
      <c r="M61" s="120"/>
    </row>
    <row r="62" spans="1:13" s="14" customFormat="1" ht="21" customHeight="1">
      <c r="A62" s="124" t="s">
        <v>103</v>
      </c>
      <c r="B62" s="127" t="s">
        <v>142</v>
      </c>
      <c r="C62" s="18" t="s">
        <v>44</v>
      </c>
      <c r="D62" s="18" t="s">
        <v>7</v>
      </c>
      <c r="E62" s="19">
        <f aca="true" t="shared" si="15" ref="E62:K62">E63+E64+E65+E66</f>
        <v>0</v>
      </c>
      <c r="F62" s="19">
        <f t="shared" si="15"/>
        <v>1130</v>
      </c>
      <c r="G62" s="19">
        <f t="shared" si="15"/>
        <v>138</v>
      </c>
      <c r="H62" s="19">
        <f t="shared" si="15"/>
        <v>248</v>
      </c>
      <c r="I62" s="19">
        <f t="shared" si="15"/>
        <v>248</v>
      </c>
      <c r="J62" s="19">
        <f t="shared" si="15"/>
        <v>248</v>
      </c>
      <c r="K62" s="19">
        <f t="shared" si="15"/>
        <v>248</v>
      </c>
      <c r="L62" s="127" t="s">
        <v>18</v>
      </c>
      <c r="M62" s="118"/>
    </row>
    <row r="63" spans="1:13" s="14" customFormat="1" ht="36" customHeight="1">
      <c r="A63" s="125"/>
      <c r="B63" s="128"/>
      <c r="C63" s="18" t="s">
        <v>44</v>
      </c>
      <c r="D63" s="18" t="s">
        <v>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28"/>
      <c r="M63" s="70"/>
    </row>
    <row r="64" spans="1:13" s="14" customFormat="1" ht="46.5" customHeight="1">
      <c r="A64" s="125"/>
      <c r="B64" s="128"/>
      <c r="C64" s="18" t="s">
        <v>44</v>
      </c>
      <c r="D64" s="18" t="s">
        <v>10</v>
      </c>
      <c r="E64" s="19">
        <v>0</v>
      </c>
      <c r="F64" s="19">
        <f>G64+H64+I64+J64+K64</f>
        <v>565</v>
      </c>
      <c r="G64" s="19">
        <f>92-23</f>
        <v>69</v>
      </c>
      <c r="H64" s="19">
        <v>124</v>
      </c>
      <c r="I64" s="19">
        <v>124</v>
      </c>
      <c r="J64" s="19">
        <v>124</v>
      </c>
      <c r="K64" s="19">
        <v>124</v>
      </c>
      <c r="L64" s="128"/>
      <c r="M64" s="70"/>
    </row>
    <row r="65" spans="1:13" s="14" customFormat="1" ht="63.75" customHeight="1">
      <c r="A65" s="125"/>
      <c r="B65" s="128"/>
      <c r="C65" s="18" t="s">
        <v>44</v>
      </c>
      <c r="D65" s="18" t="s">
        <v>11</v>
      </c>
      <c r="E65" s="19">
        <v>0</v>
      </c>
      <c r="F65" s="19">
        <f>G65+H65+I65+J65+K65</f>
        <v>565</v>
      </c>
      <c r="G65" s="19">
        <f>92-23</f>
        <v>69</v>
      </c>
      <c r="H65" s="19">
        <v>124</v>
      </c>
      <c r="I65" s="19">
        <v>124</v>
      </c>
      <c r="J65" s="19">
        <v>124</v>
      </c>
      <c r="K65" s="19">
        <v>124</v>
      </c>
      <c r="L65" s="128"/>
      <c r="M65" s="70"/>
    </row>
    <row r="66" spans="1:13" s="14" customFormat="1" ht="27.75" customHeight="1">
      <c r="A66" s="126"/>
      <c r="B66" s="129"/>
      <c r="C66" s="18" t="s">
        <v>44</v>
      </c>
      <c r="D66" s="18" t="s">
        <v>34</v>
      </c>
      <c r="E66" s="19">
        <v>0</v>
      </c>
      <c r="F66" s="19">
        <f>G66+H66+I66+J66+K66</f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29"/>
      <c r="M66" s="71"/>
    </row>
    <row r="67" spans="1:13" s="14" customFormat="1" ht="27.75" customHeight="1">
      <c r="A67" s="133" t="s">
        <v>109</v>
      </c>
      <c r="B67" s="127" t="s">
        <v>143</v>
      </c>
      <c r="C67" s="18" t="s">
        <v>44</v>
      </c>
      <c r="D67" s="18" t="s">
        <v>7</v>
      </c>
      <c r="E67" s="19">
        <f aca="true" t="shared" si="16" ref="E67:J67">E68+E69+E70+E71</f>
        <v>0</v>
      </c>
      <c r="F67" s="53">
        <f t="shared" si="16"/>
        <v>621690.1399999999</v>
      </c>
      <c r="G67" s="53">
        <f t="shared" si="16"/>
        <v>52388.37</v>
      </c>
      <c r="H67" s="19">
        <f t="shared" si="16"/>
        <v>135426.35</v>
      </c>
      <c r="I67" s="19">
        <f t="shared" si="16"/>
        <v>144505.18</v>
      </c>
      <c r="J67" s="19">
        <f t="shared" si="16"/>
        <v>144684.79</v>
      </c>
      <c r="K67" s="19">
        <v>144505</v>
      </c>
      <c r="L67" s="118" t="s">
        <v>18</v>
      </c>
      <c r="M67" s="69"/>
    </row>
    <row r="68" spans="1:13" s="14" customFormat="1" ht="39" customHeight="1">
      <c r="A68" s="74"/>
      <c r="B68" s="70"/>
      <c r="C68" s="18" t="s">
        <v>44</v>
      </c>
      <c r="D68" s="18" t="s">
        <v>9</v>
      </c>
      <c r="E68" s="19">
        <v>0</v>
      </c>
      <c r="F68" s="53">
        <f>G68+H68+I68+J68+K68</f>
        <v>263366.337</v>
      </c>
      <c r="G68" s="53">
        <v>28289.747</v>
      </c>
      <c r="H68" s="19">
        <f>73130.21+0.01-0.01</f>
        <v>73130.21</v>
      </c>
      <c r="I68" s="19">
        <f>80922.9+0.01-0.01</f>
        <v>80922.9</v>
      </c>
      <c r="J68" s="19">
        <f>0+81023.5-0.02</f>
        <v>81023.48</v>
      </c>
      <c r="K68" s="19">
        <v>0</v>
      </c>
      <c r="L68" s="70"/>
      <c r="M68" s="70"/>
    </row>
    <row r="69" spans="1:13" s="14" customFormat="1" ht="48" customHeight="1">
      <c r="A69" s="74"/>
      <c r="B69" s="70"/>
      <c r="C69" s="18" t="s">
        <v>44</v>
      </c>
      <c r="D69" s="18" t="s">
        <v>10</v>
      </c>
      <c r="E69" s="19">
        <v>0</v>
      </c>
      <c r="F69" s="53">
        <f>G69+H69+I69+J69+K69</f>
        <v>286244.363</v>
      </c>
      <c r="G69" s="53">
        <f>49769-28289.747</f>
        <v>21479.253</v>
      </c>
      <c r="H69" s="61">
        <f>40305.79-0.01+7463.48+0.03</f>
        <v>47769.28999999999</v>
      </c>
      <c r="I69" s="19">
        <f>41138.1-0.01+7364.55</f>
        <v>48502.64</v>
      </c>
      <c r="J69" s="19">
        <f>93495+28718-81023.5+5090.68</f>
        <v>46280.18</v>
      </c>
      <c r="K69" s="19">
        <f>93495+28718</f>
        <v>122213</v>
      </c>
      <c r="L69" s="70"/>
      <c r="M69" s="70"/>
    </row>
    <row r="70" spans="1:13" s="14" customFormat="1" ht="60.75" customHeight="1">
      <c r="A70" s="74"/>
      <c r="B70" s="70"/>
      <c r="C70" s="18" t="s">
        <v>44</v>
      </c>
      <c r="D70" s="18" t="s">
        <v>11</v>
      </c>
      <c r="E70" s="19">
        <v>0</v>
      </c>
      <c r="F70" s="19">
        <f>G70+H70+I70+J70+K70</f>
        <v>72079.44</v>
      </c>
      <c r="G70" s="19">
        <v>2619.37</v>
      </c>
      <c r="H70" s="19">
        <f>21990.53-7463.68</f>
        <v>14526.849999999999</v>
      </c>
      <c r="I70" s="19">
        <f>22444.54-7364.9</f>
        <v>15079.640000000001</v>
      </c>
      <c r="J70" s="19">
        <f>51010-28537.55-5091.32</f>
        <v>17381.13</v>
      </c>
      <c r="K70" s="19">
        <f>51010-28537.55</f>
        <v>22472.45</v>
      </c>
      <c r="L70" s="70"/>
      <c r="M70" s="70"/>
    </row>
    <row r="71" spans="1:13" s="14" customFormat="1" ht="27.75" customHeight="1">
      <c r="A71" s="75"/>
      <c r="B71" s="71"/>
      <c r="C71" s="18" t="s">
        <v>44</v>
      </c>
      <c r="D71" s="18" t="s">
        <v>34</v>
      </c>
      <c r="E71" s="19">
        <v>0</v>
      </c>
      <c r="F71" s="19">
        <f>G71+H71+I71+J71+K71</f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71"/>
      <c r="M71" s="71"/>
    </row>
    <row r="72" spans="1:13" s="14" customFormat="1" ht="27.75" customHeight="1" hidden="1">
      <c r="A72" s="63" t="s">
        <v>124</v>
      </c>
      <c r="B72" s="109" t="s">
        <v>125</v>
      </c>
      <c r="C72" s="18" t="s">
        <v>44</v>
      </c>
      <c r="D72" s="18" t="s">
        <v>7</v>
      </c>
      <c r="E72" s="19">
        <f>E73+E74+E75+E76</f>
        <v>0</v>
      </c>
      <c r="F72" s="19">
        <f aca="true" t="shared" si="17" ref="F72:K72">F73+F74+F75+F76</f>
        <v>0</v>
      </c>
      <c r="G72" s="19">
        <f t="shared" si="17"/>
        <v>0</v>
      </c>
      <c r="H72" s="19">
        <f t="shared" si="17"/>
        <v>0</v>
      </c>
      <c r="I72" s="19">
        <f t="shared" si="17"/>
        <v>0</v>
      </c>
      <c r="J72" s="19">
        <f t="shared" si="17"/>
        <v>0</v>
      </c>
      <c r="K72" s="19">
        <f t="shared" si="17"/>
        <v>0</v>
      </c>
      <c r="L72" s="118" t="s">
        <v>18</v>
      </c>
      <c r="M72" s="69"/>
    </row>
    <row r="73" spans="1:13" s="14" customFormat="1" ht="39" customHeight="1" hidden="1">
      <c r="A73" s="74"/>
      <c r="B73" s="76"/>
      <c r="C73" s="18" t="s">
        <v>44</v>
      </c>
      <c r="D73" s="18" t="s">
        <v>9</v>
      </c>
      <c r="E73" s="19">
        <v>0</v>
      </c>
      <c r="F73" s="19">
        <f>G73+H73+I73+J73+K73</f>
        <v>0</v>
      </c>
      <c r="G73" s="19">
        <v>0</v>
      </c>
      <c r="H73" s="19">
        <f>75010-75010</f>
        <v>0</v>
      </c>
      <c r="I73" s="19">
        <f>53924-53924</f>
        <v>0</v>
      </c>
      <c r="J73" s="19">
        <f>53924-53924</f>
        <v>0</v>
      </c>
      <c r="K73" s="19">
        <f>53924-53924</f>
        <v>0</v>
      </c>
      <c r="L73" s="70"/>
      <c r="M73" s="70"/>
    </row>
    <row r="74" spans="1:13" s="14" customFormat="1" ht="50.25" customHeight="1" hidden="1">
      <c r="A74" s="74"/>
      <c r="B74" s="76"/>
      <c r="C74" s="18" t="s">
        <v>44</v>
      </c>
      <c r="D74" s="18" t="s">
        <v>10</v>
      </c>
      <c r="E74" s="19">
        <v>0</v>
      </c>
      <c r="F74" s="19">
        <f>G74+H74+I74+J74+K74</f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70"/>
      <c r="M74" s="70"/>
    </row>
    <row r="75" spans="1:13" s="14" customFormat="1" ht="62.25" customHeight="1" hidden="1">
      <c r="A75" s="74"/>
      <c r="B75" s="76"/>
      <c r="C75" s="18" t="s">
        <v>44</v>
      </c>
      <c r="D75" s="18" t="s">
        <v>11</v>
      </c>
      <c r="E75" s="19">
        <v>0</v>
      </c>
      <c r="F75" s="19">
        <f>G75+H75+I75+J75+K75</f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70"/>
      <c r="M75" s="70"/>
    </row>
    <row r="76" spans="1:13" s="14" customFormat="1" ht="30" customHeight="1" hidden="1">
      <c r="A76" s="75"/>
      <c r="B76" s="77"/>
      <c r="C76" s="18" t="s">
        <v>44</v>
      </c>
      <c r="D76" s="18" t="s">
        <v>34</v>
      </c>
      <c r="E76" s="19">
        <v>0</v>
      </c>
      <c r="F76" s="19">
        <f>G76+H76+I76+J76+K76</f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71"/>
      <c r="M76" s="71"/>
    </row>
    <row r="77" spans="1:13" s="14" customFormat="1" ht="27.75" customHeight="1">
      <c r="A77" s="63" t="s">
        <v>126</v>
      </c>
      <c r="B77" s="109" t="s">
        <v>160</v>
      </c>
      <c r="C77" s="18" t="s">
        <v>127</v>
      </c>
      <c r="D77" s="18" t="s">
        <v>7</v>
      </c>
      <c r="E77" s="19">
        <f>E78+E79+E80+E81</f>
        <v>0</v>
      </c>
      <c r="F77" s="19">
        <f aca="true" t="shared" si="18" ref="F77:K77">F78+F79+F80+F81</f>
        <v>328284</v>
      </c>
      <c r="G77" s="19">
        <f t="shared" si="18"/>
        <v>0</v>
      </c>
      <c r="H77" s="19">
        <f t="shared" si="18"/>
        <v>82071</v>
      </c>
      <c r="I77" s="19">
        <f t="shared" si="18"/>
        <v>82071</v>
      </c>
      <c r="J77" s="19">
        <f t="shared" si="18"/>
        <v>82071</v>
      </c>
      <c r="K77" s="19">
        <f t="shared" si="18"/>
        <v>82071</v>
      </c>
      <c r="L77" s="118" t="s">
        <v>18</v>
      </c>
      <c r="M77" s="69"/>
    </row>
    <row r="78" spans="1:13" s="14" customFormat="1" ht="42" customHeight="1">
      <c r="A78" s="105"/>
      <c r="B78" s="70"/>
      <c r="C78" s="18" t="s">
        <v>127</v>
      </c>
      <c r="D78" s="18" t="s">
        <v>9</v>
      </c>
      <c r="E78" s="19">
        <v>0</v>
      </c>
      <c r="F78" s="19">
        <f>G78+H78+I78+J78+K78</f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70"/>
      <c r="M78" s="70"/>
    </row>
    <row r="79" spans="1:13" s="14" customFormat="1" ht="49.5" customHeight="1">
      <c r="A79" s="105"/>
      <c r="B79" s="70"/>
      <c r="C79" s="18" t="s">
        <v>127</v>
      </c>
      <c r="D79" s="18" t="s">
        <v>10</v>
      </c>
      <c r="E79" s="19">
        <v>0</v>
      </c>
      <c r="F79" s="19">
        <f>G79+H79+I79+J79+K79</f>
        <v>233164</v>
      </c>
      <c r="G79" s="19">
        <v>0</v>
      </c>
      <c r="H79" s="19">
        <v>73864</v>
      </c>
      <c r="I79" s="19">
        <v>53100</v>
      </c>
      <c r="J79" s="19">
        <v>53100</v>
      </c>
      <c r="K79" s="19">
        <v>53100</v>
      </c>
      <c r="L79" s="70"/>
      <c r="M79" s="70"/>
    </row>
    <row r="80" spans="1:13" s="14" customFormat="1" ht="65.25" customHeight="1">
      <c r="A80" s="105"/>
      <c r="B80" s="70"/>
      <c r="C80" s="18" t="s">
        <v>127</v>
      </c>
      <c r="D80" s="18" t="s">
        <v>11</v>
      </c>
      <c r="E80" s="19">
        <v>0</v>
      </c>
      <c r="F80" s="19">
        <f>G80+H80+I80+J80+K80</f>
        <v>95120</v>
      </c>
      <c r="G80" s="19">
        <v>0</v>
      </c>
      <c r="H80" s="19">
        <v>8207</v>
      </c>
      <c r="I80" s="19">
        <v>28971</v>
      </c>
      <c r="J80" s="19">
        <v>28971</v>
      </c>
      <c r="K80" s="19">
        <v>28971</v>
      </c>
      <c r="L80" s="70"/>
      <c r="M80" s="70"/>
    </row>
    <row r="81" spans="1:13" s="14" customFormat="1" ht="33" customHeight="1">
      <c r="A81" s="106"/>
      <c r="B81" s="71"/>
      <c r="C81" s="18" t="s">
        <v>127</v>
      </c>
      <c r="D81" s="18" t="s">
        <v>34</v>
      </c>
      <c r="E81" s="19">
        <v>0</v>
      </c>
      <c r="F81" s="19">
        <f>G81+H81+I81+J81+K81</f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71"/>
      <c r="M81" s="71"/>
    </row>
    <row r="82" spans="1:13" s="14" customFormat="1" ht="24" customHeight="1">
      <c r="A82" s="133" t="s">
        <v>29</v>
      </c>
      <c r="B82" s="127" t="s">
        <v>121</v>
      </c>
      <c r="C82" s="18" t="s">
        <v>44</v>
      </c>
      <c r="D82" s="18" t="s">
        <v>7</v>
      </c>
      <c r="E82" s="19">
        <f>E87</f>
        <v>0</v>
      </c>
      <c r="F82" s="19">
        <f aca="true" t="shared" si="19" ref="F82:K82">F87</f>
        <v>17029.5</v>
      </c>
      <c r="G82" s="19">
        <f t="shared" si="19"/>
        <v>10200</v>
      </c>
      <c r="H82" s="19">
        <f t="shared" si="19"/>
        <v>6829.5</v>
      </c>
      <c r="I82" s="19">
        <f t="shared" si="19"/>
        <v>0</v>
      </c>
      <c r="J82" s="19">
        <f t="shared" si="19"/>
        <v>0</v>
      </c>
      <c r="K82" s="19">
        <f t="shared" si="19"/>
        <v>0</v>
      </c>
      <c r="L82" s="118" t="s">
        <v>18</v>
      </c>
      <c r="M82" s="109" t="s">
        <v>179</v>
      </c>
    </row>
    <row r="83" spans="1:13" s="14" customFormat="1" ht="39.75" customHeight="1">
      <c r="A83" s="74"/>
      <c r="B83" s="76"/>
      <c r="C83" s="18" t="s">
        <v>44</v>
      </c>
      <c r="D83" s="18" t="s">
        <v>9</v>
      </c>
      <c r="E83" s="19">
        <f>E88</f>
        <v>0</v>
      </c>
      <c r="F83" s="19">
        <f aca="true" t="shared" si="20" ref="F83:K83">F88</f>
        <v>0</v>
      </c>
      <c r="G83" s="19">
        <f t="shared" si="20"/>
        <v>0</v>
      </c>
      <c r="H83" s="19">
        <f t="shared" si="20"/>
        <v>0</v>
      </c>
      <c r="I83" s="19">
        <f t="shared" si="20"/>
        <v>0</v>
      </c>
      <c r="J83" s="19">
        <f t="shared" si="20"/>
        <v>0</v>
      </c>
      <c r="K83" s="19">
        <f t="shared" si="20"/>
        <v>0</v>
      </c>
      <c r="L83" s="70"/>
      <c r="M83" s="76"/>
    </row>
    <row r="84" spans="1:13" s="14" customFormat="1" ht="50.25" customHeight="1">
      <c r="A84" s="74"/>
      <c r="B84" s="76"/>
      <c r="C84" s="18" t="s">
        <v>44</v>
      </c>
      <c r="D84" s="18" t="s">
        <v>10</v>
      </c>
      <c r="E84" s="19">
        <f aca="true" t="shared" si="21" ref="E84:F86">E89</f>
        <v>0</v>
      </c>
      <c r="F84" s="19">
        <f t="shared" si="21"/>
        <v>0</v>
      </c>
      <c r="G84" s="19">
        <f aca="true" t="shared" si="22" ref="G84:K86">G89</f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70"/>
      <c r="M84" s="76"/>
    </row>
    <row r="85" spans="1:13" s="14" customFormat="1" ht="62.25" customHeight="1">
      <c r="A85" s="74"/>
      <c r="B85" s="76"/>
      <c r="C85" s="18" t="s">
        <v>44</v>
      </c>
      <c r="D85" s="18" t="s">
        <v>11</v>
      </c>
      <c r="E85" s="19">
        <f t="shared" si="21"/>
        <v>0</v>
      </c>
      <c r="F85" s="19">
        <f t="shared" si="21"/>
        <v>17029.5</v>
      </c>
      <c r="G85" s="19">
        <f t="shared" si="22"/>
        <v>10200</v>
      </c>
      <c r="H85" s="19">
        <f t="shared" si="22"/>
        <v>6829.5</v>
      </c>
      <c r="I85" s="19">
        <f t="shared" si="22"/>
        <v>0</v>
      </c>
      <c r="J85" s="19">
        <f t="shared" si="22"/>
        <v>0</v>
      </c>
      <c r="K85" s="19">
        <f t="shared" si="22"/>
        <v>0</v>
      </c>
      <c r="L85" s="70"/>
      <c r="M85" s="76"/>
    </row>
    <row r="86" spans="1:13" s="14" customFormat="1" ht="27.75" customHeight="1">
      <c r="A86" s="75"/>
      <c r="B86" s="77"/>
      <c r="C86" s="18" t="s">
        <v>44</v>
      </c>
      <c r="D86" s="18" t="s">
        <v>34</v>
      </c>
      <c r="E86" s="19">
        <f t="shared" si="21"/>
        <v>0</v>
      </c>
      <c r="F86" s="19">
        <f t="shared" si="21"/>
        <v>0</v>
      </c>
      <c r="G86" s="19">
        <f t="shared" si="22"/>
        <v>0</v>
      </c>
      <c r="H86" s="19">
        <f t="shared" si="22"/>
        <v>0</v>
      </c>
      <c r="I86" s="19">
        <f t="shared" si="22"/>
        <v>0</v>
      </c>
      <c r="J86" s="19">
        <f t="shared" si="22"/>
        <v>0</v>
      </c>
      <c r="K86" s="19">
        <f t="shared" si="22"/>
        <v>0</v>
      </c>
      <c r="L86" s="71"/>
      <c r="M86" s="77"/>
    </row>
    <row r="87" spans="1:13" s="14" customFormat="1" ht="22.5" customHeight="1">
      <c r="A87" s="133" t="s">
        <v>31</v>
      </c>
      <c r="B87" s="127" t="s">
        <v>144</v>
      </c>
      <c r="C87" s="18" t="s">
        <v>44</v>
      </c>
      <c r="D87" s="18" t="s">
        <v>7</v>
      </c>
      <c r="E87" s="19">
        <f>E88+E89+E90+E91</f>
        <v>0</v>
      </c>
      <c r="F87" s="19">
        <f aca="true" t="shared" si="23" ref="F87:K87">F88+F89+F90+F91</f>
        <v>17029.5</v>
      </c>
      <c r="G87" s="19">
        <f t="shared" si="23"/>
        <v>10200</v>
      </c>
      <c r="H87" s="19">
        <f t="shared" si="23"/>
        <v>6829.5</v>
      </c>
      <c r="I87" s="19">
        <f t="shared" si="23"/>
        <v>0</v>
      </c>
      <c r="J87" s="19">
        <f t="shared" si="23"/>
        <v>0</v>
      </c>
      <c r="K87" s="19">
        <f t="shared" si="23"/>
        <v>0</v>
      </c>
      <c r="L87" s="118" t="s">
        <v>18</v>
      </c>
      <c r="M87" s="69"/>
    </row>
    <row r="88" spans="1:13" s="14" customFormat="1" ht="41.25" customHeight="1">
      <c r="A88" s="74"/>
      <c r="B88" s="76"/>
      <c r="C88" s="18" t="s">
        <v>44</v>
      </c>
      <c r="D88" s="18" t="s">
        <v>9</v>
      </c>
      <c r="E88" s="19">
        <v>0</v>
      </c>
      <c r="F88" s="19">
        <f>G88+H88+I88+J88+K88</f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70"/>
      <c r="M88" s="70"/>
    </row>
    <row r="89" spans="1:13" s="14" customFormat="1" ht="48.75" customHeight="1">
      <c r="A89" s="74"/>
      <c r="B89" s="76"/>
      <c r="C89" s="18" t="s">
        <v>44</v>
      </c>
      <c r="D89" s="18" t="s">
        <v>10</v>
      </c>
      <c r="E89" s="19">
        <v>0</v>
      </c>
      <c r="F89" s="19">
        <f>G89+H89+I89+J89+K89</f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70"/>
      <c r="M89" s="70"/>
    </row>
    <row r="90" spans="1:13" s="14" customFormat="1" ht="63" customHeight="1">
      <c r="A90" s="74"/>
      <c r="B90" s="76"/>
      <c r="C90" s="18" t="s">
        <v>44</v>
      </c>
      <c r="D90" s="18" t="s">
        <v>11</v>
      </c>
      <c r="E90" s="19">
        <v>0</v>
      </c>
      <c r="F90" s="19">
        <f>G90+H90+I90+J90+K90</f>
        <v>17029.5</v>
      </c>
      <c r="G90" s="19">
        <f>0+7000+3200</f>
        <v>10200</v>
      </c>
      <c r="H90" s="19">
        <f>6911.5-82</f>
        <v>6829.5</v>
      </c>
      <c r="I90" s="19">
        <v>0</v>
      </c>
      <c r="J90" s="19">
        <v>0</v>
      </c>
      <c r="K90" s="19">
        <v>0</v>
      </c>
      <c r="L90" s="70"/>
      <c r="M90" s="70"/>
    </row>
    <row r="91" spans="1:13" s="14" customFormat="1" ht="27.75" customHeight="1">
      <c r="A91" s="75"/>
      <c r="B91" s="77"/>
      <c r="C91" s="18" t="s">
        <v>44</v>
      </c>
      <c r="D91" s="18" t="s">
        <v>34</v>
      </c>
      <c r="E91" s="19">
        <v>0</v>
      </c>
      <c r="F91" s="19">
        <f>G91+H91+I91+J91+K91</f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71"/>
      <c r="M91" s="71"/>
    </row>
    <row r="92" spans="1:13" s="14" customFormat="1" ht="21" customHeight="1">
      <c r="A92" s="133" t="s">
        <v>30</v>
      </c>
      <c r="B92" s="127" t="s">
        <v>52</v>
      </c>
      <c r="C92" s="18" t="s">
        <v>44</v>
      </c>
      <c r="D92" s="18" t="s">
        <v>7</v>
      </c>
      <c r="E92" s="19">
        <f aca="true" t="shared" si="24" ref="E92:K92">E93+E94+E95+E96</f>
        <v>0</v>
      </c>
      <c r="F92" s="19">
        <f>F93+F94+F95+F96</f>
        <v>408968.97000000003</v>
      </c>
      <c r="G92" s="19">
        <f t="shared" si="24"/>
        <v>81972.55</v>
      </c>
      <c r="H92" s="19">
        <f>H93+H94+H95+H96</f>
        <v>203669.33000000002</v>
      </c>
      <c r="I92" s="19">
        <f t="shared" si="24"/>
        <v>120110.66</v>
      </c>
      <c r="J92" s="19">
        <f t="shared" si="24"/>
        <v>3216.43</v>
      </c>
      <c r="K92" s="19">
        <f t="shared" si="24"/>
        <v>0</v>
      </c>
      <c r="L92" s="118" t="s">
        <v>18</v>
      </c>
      <c r="M92" s="118" t="s">
        <v>180</v>
      </c>
    </row>
    <row r="93" spans="1:13" s="14" customFormat="1" ht="40.5" customHeight="1">
      <c r="A93" s="125"/>
      <c r="B93" s="128"/>
      <c r="C93" s="18" t="s">
        <v>44</v>
      </c>
      <c r="D93" s="18" t="s">
        <v>9</v>
      </c>
      <c r="E93" s="19">
        <f>E98+E103+E108+E113</f>
        <v>0</v>
      </c>
      <c r="F93" s="19">
        <f>G93+H93+I93+J93+K93</f>
        <v>8235.56</v>
      </c>
      <c r="G93" s="19">
        <f>G98+G103+G108+G113+G118</f>
        <v>0</v>
      </c>
      <c r="H93" s="19">
        <f>H98+H103+H108+H113+H118</f>
        <v>2353.11</v>
      </c>
      <c r="I93" s="19">
        <f>I98+I103+I108+I113+I118</f>
        <v>3529.68</v>
      </c>
      <c r="J93" s="19">
        <f>J98+J103+J108+J113+J118</f>
        <v>2352.77</v>
      </c>
      <c r="K93" s="19">
        <f>K98+K103+K108+K113+K118</f>
        <v>0</v>
      </c>
      <c r="L93" s="119"/>
      <c r="M93" s="86"/>
    </row>
    <row r="94" spans="1:13" s="14" customFormat="1" ht="50.25" customHeight="1">
      <c r="A94" s="125"/>
      <c r="B94" s="128"/>
      <c r="C94" s="18" t="s">
        <v>44</v>
      </c>
      <c r="D94" s="18" t="s">
        <v>10</v>
      </c>
      <c r="E94" s="19">
        <f>E99+E104+E109+E114</f>
        <v>0</v>
      </c>
      <c r="F94" s="19">
        <f>G94+H94+I94+J94+K94</f>
        <v>236628.44000000003</v>
      </c>
      <c r="G94" s="19">
        <f aca="true" t="shared" si="25" ref="G94:K95">G99+G104+G109+G114+G119</f>
        <v>50636</v>
      </c>
      <c r="H94" s="19">
        <f t="shared" si="25"/>
        <v>109439.89</v>
      </c>
      <c r="I94" s="19">
        <f t="shared" si="25"/>
        <v>75767.32</v>
      </c>
      <c r="J94" s="19">
        <f t="shared" si="25"/>
        <v>785.23</v>
      </c>
      <c r="K94" s="19">
        <f t="shared" si="25"/>
        <v>0</v>
      </c>
      <c r="L94" s="119"/>
      <c r="M94" s="86"/>
    </row>
    <row r="95" spans="1:13" s="14" customFormat="1" ht="63.75" customHeight="1">
      <c r="A95" s="125"/>
      <c r="B95" s="128"/>
      <c r="C95" s="18" t="s">
        <v>44</v>
      </c>
      <c r="D95" s="18" t="s">
        <v>11</v>
      </c>
      <c r="E95" s="19">
        <f>E100+E105+E110+E115</f>
        <v>0</v>
      </c>
      <c r="F95" s="19">
        <f>G95+H95+I95+J95+K95</f>
        <v>164104.97</v>
      </c>
      <c r="G95" s="19">
        <f t="shared" si="25"/>
        <v>31336.550000000003</v>
      </c>
      <c r="H95" s="19">
        <f t="shared" si="25"/>
        <v>91876.33</v>
      </c>
      <c r="I95" s="19">
        <f t="shared" si="25"/>
        <v>40813.66</v>
      </c>
      <c r="J95" s="19">
        <f t="shared" si="25"/>
        <v>78.43</v>
      </c>
      <c r="K95" s="19">
        <f t="shared" si="25"/>
        <v>0</v>
      </c>
      <c r="L95" s="119"/>
      <c r="M95" s="86"/>
    </row>
    <row r="96" spans="1:13" s="14" customFormat="1" ht="129.75" customHeight="1">
      <c r="A96" s="126"/>
      <c r="B96" s="129"/>
      <c r="C96" s="18" t="s">
        <v>44</v>
      </c>
      <c r="D96" s="18" t="s">
        <v>34</v>
      </c>
      <c r="E96" s="19">
        <f>E101+E106+E111+E116</f>
        <v>0</v>
      </c>
      <c r="F96" s="19">
        <f>G96+H96+I96+J96+K96</f>
        <v>0</v>
      </c>
      <c r="G96" s="19">
        <f>G101+G106+G111+G116+G121</f>
        <v>0</v>
      </c>
      <c r="H96" s="19">
        <f>H101+H106+H111+H116+H121</f>
        <v>0</v>
      </c>
      <c r="I96" s="19">
        <f>I101+I106+I111+I116+I121</f>
        <v>0</v>
      </c>
      <c r="J96" s="19">
        <f>J101+J106+J111+J116+J121</f>
        <v>0</v>
      </c>
      <c r="K96" s="19">
        <f>K101+K106+K111+K116+K121</f>
        <v>0</v>
      </c>
      <c r="L96" s="120"/>
      <c r="M96" s="87"/>
    </row>
    <row r="97" spans="1:13" s="14" customFormat="1" ht="26.25" customHeight="1">
      <c r="A97" s="133" t="s">
        <v>32</v>
      </c>
      <c r="B97" s="127" t="s">
        <v>145</v>
      </c>
      <c r="C97" s="18" t="s">
        <v>44</v>
      </c>
      <c r="D97" s="18" t="s">
        <v>7</v>
      </c>
      <c r="E97" s="19">
        <f aca="true" t="shared" si="26" ref="E97:K97">E98+E99+E100+E101</f>
        <v>0</v>
      </c>
      <c r="F97" s="19">
        <f>F98+F99+F100+F101</f>
        <v>0</v>
      </c>
      <c r="G97" s="19">
        <f t="shared" si="26"/>
        <v>0</v>
      </c>
      <c r="H97" s="19">
        <f t="shared" si="26"/>
        <v>0</v>
      </c>
      <c r="I97" s="19">
        <f t="shared" si="26"/>
        <v>0</v>
      </c>
      <c r="J97" s="19">
        <f t="shared" si="26"/>
        <v>0</v>
      </c>
      <c r="K97" s="19">
        <f t="shared" si="26"/>
        <v>0</v>
      </c>
      <c r="L97" s="118" t="s">
        <v>18</v>
      </c>
      <c r="M97" s="118"/>
    </row>
    <row r="98" spans="1:13" s="14" customFormat="1" ht="37.5" customHeight="1">
      <c r="A98" s="125"/>
      <c r="B98" s="128"/>
      <c r="C98" s="18" t="s">
        <v>44</v>
      </c>
      <c r="D98" s="18" t="s">
        <v>9</v>
      </c>
      <c r="E98" s="19">
        <v>0</v>
      </c>
      <c r="F98" s="19">
        <f>G98+H98+I98+J98+K98</f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19"/>
      <c r="M98" s="119"/>
    </row>
    <row r="99" spans="1:13" s="14" customFormat="1" ht="52.5" customHeight="1">
      <c r="A99" s="125"/>
      <c r="B99" s="128"/>
      <c r="C99" s="18" t="s">
        <v>44</v>
      </c>
      <c r="D99" s="18" t="s">
        <v>10</v>
      </c>
      <c r="E99" s="19">
        <v>0</v>
      </c>
      <c r="F99" s="19">
        <f>G99+H99+I99+J99+K99</f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19"/>
      <c r="M99" s="119"/>
    </row>
    <row r="100" spans="1:13" s="14" customFormat="1" ht="63.75" customHeight="1">
      <c r="A100" s="125"/>
      <c r="B100" s="128"/>
      <c r="C100" s="18" t="s">
        <v>44</v>
      </c>
      <c r="D100" s="18" t="s">
        <v>11</v>
      </c>
      <c r="E100" s="19">
        <v>0</v>
      </c>
      <c r="F100" s="19">
        <f>G100+H100+I100+J100+K100</f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19"/>
      <c r="M100" s="119"/>
    </row>
    <row r="101" spans="1:13" s="14" customFormat="1" ht="30.75" customHeight="1">
      <c r="A101" s="126"/>
      <c r="B101" s="129"/>
      <c r="C101" s="18" t="s">
        <v>44</v>
      </c>
      <c r="D101" s="18" t="s">
        <v>34</v>
      </c>
      <c r="E101" s="19">
        <v>0</v>
      </c>
      <c r="F101" s="19">
        <f>G101+H101+I101+J101+K101</f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20"/>
      <c r="M101" s="120"/>
    </row>
    <row r="102" spans="1:13" s="14" customFormat="1" ht="27.75" customHeight="1">
      <c r="A102" s="152" t="s">
        <v>96</v>
      </c>
      <c r="B102" s="127" t="s">
        <v>171</v>
      </c>
      <c r="C102" s="18" t="s">
        <v>44</v>
      </c>
      <c r="D102" s="18" t="s">
        <v>7</v>
      </c>
      <c r="E102" s="19">
        <f>E103+E104+E105+E106</f>
        <v>0</v>
      </c>
      <c r="F102" s="19">
        <f aca="true" t="shared" si="27" ref="F102:K102">F103+F104+F105+F106</f>
        <v>0</v>
      </c>
      <c r="G102" s="19">
        <f t="shared" si="27"/>
        <v>0</v>
      </c>
      <c r="H102" s="19">
        <f t="shared" si="27"/>
        <v>0</v>
      </c>
      <c r="I102" s="19">
        <f t="shared" si="27"/>
        <v>0</v>
      </c>
      <c r="J102" s="19">
        <f t="shared" si="27"/>
        <v>0</v>
      </c>
      <c r="K102" s="19">
        <f t="shared" si="27"/>
        <v>0</v>
      </c>
      <c r="L102" s="118" t="s">
        <v>18</v>
      </c>
      <c r="M102" s="118"/>
    </row>
    <row r="103" spans="1:13" s="14" customFormat="1" ht="39" customHeight="1">
      <c r="A103" s="153"/>
      <c r="B103" s="131"/>
      <c r="C103" s="18" t="s">
        <v>44</v>
      </c>
      <c r="D103" s="18" t="s">
        <v>9</v>
      </c>
      <c r="E103" s="19">
        <v>0</v>
      </c>
      <c r="F103" s="19">
        <f>G103+H103+I103+J103+K103</f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19"/>
      <c r="M103" s="70"/>
    </row>
    <row r="104" spans="1:13" s="14" customFormat="1" ht="53.25" customHeight="1">
      <c r="A104" s="153"/>
      <c r="B104" s="131"/>
      <c r="C104" s="18" t="s">
        <v>44</v>
      </c>
      <c r="D104" s="18" t="s">
        <v>10</v>
      </c>
      <c r="E104" s="19">
        <v>0</v>
      </c>
      <c r="F104" s="19">
        <f>G104+H104+I104+J104+K104</f>
        <v>0</v>
      </c>
      <c r="G104" s="19">
        <v>0</v>
      </c>
      <c r="H104" s="19">
        <v>0</v>
      </c>
      <c r="I104" s="19">
        <f>2500-2500</f>
        <v>0</v>
      </c>
      <c r="J104" s="19">
        <v>0</v>
      </c>
      <c r="K104" s="19">
        <v>0</v>
      </c>
      <c r="L104" s="119"/>
      <c r="M104" s="70"/>
    </row>
    <row r="105" spans="1:13" s="14" customFormat="1" ht="64.5" customHeight="1">
      <c r="A105" s="153"/>
      <c r="B105" s="131"/>
      <c r="C105" s="18" t="s">
        <v>44</v>
      </c>
      <c r="D105" s="18" t="s">
        <v>11</v>
      </c>
      <c r="E105" s="19">
        <v>0</v>
      </c>
      <c r="F105" s="19">
        <f>G105+H105+I105+J105+K105</f>
        <v>0</v>
      </c>
      <c r="G105" s="19">
        <v>0</v>
      </c>
      <c r="H105" s="19">
        <v>0</v>
      </c>
      <c r="I105" s="19">
        <f>2500-2500</f>
        <v>0</v>
      </c>
      <c r="J105" s="19">
        <v>0</v>
      </c>
      <c r="K105" s="19">
        <v>0</v>
      </c>
      <c r="L105" s="119"/>
      <c r="M105" s="70"/>
    </row>
    <row r="106" spans="1:13" s="14" customFormat="1" ht="35.25" customHeight="1">
      <c r="A106" s="154"/>
      <c r="B106" s="132"/>
      <c r="C106" s="18" t="s">
        <v>44</v>
      </c>
      <c r="D106" s="18" t="s">
        <v>34</v>
      </c>
      <c r="E106" s="19">
        <v>0</v>
      </c>
      <c r="F106" s="19">
        <f>G106+H106+I106+J106+K106</f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20"/>
      <c r="M106" s="71"/>
    </row>
    <row r="107" spans="1:13" s="14" customFormat="1" ht="31.5" customHeight="1">
      <c r="A107" s="149" t="s">
        <v>97</v>
      </c>
      <c r="B107" s="130" t="s">
        <v>146</v>
      </c>
      <c r="C107" s="18" t="s">
        <v>44</v>
      </c>
      <c r="D107" s="18" t="s">
        <v>7</v>
      </c>
      <c r="E107" s="19">
        <f>E108+E109+E110+E111</f>
        <v>0</v>
      </c>
      <c r="F107" s="19">
        <f aca="true" t="shared" si="28" ref="F107:K107">F108+F109+F110+F111</f>
        <v>365195.55</v>
      </c>
      <c r="G107" s="19">
        <f t="shared" si="28"/>
        <v>81972.55</v>
      </c>
      <c r="H107" s="19">
        <f t="shared" si="28"/>
        <v>167937</v>
      </c>
      <c r="I107" s="19">
        <f t="shared" si="28"/>
        <v>115286</v>
      </c>
      <c r="J107" s="19">
        <f t="shared" si="28"/>
        <v>0</v>
      </c>
      <c r="K107" s="19">
        <f t="shared" si="28"/>
        <v>0</v>
      </c>
      <c r="L107" s="118" t="s">
        <v>58</v>
      </c>
      <c r="M107" s="69"/>
    </row>
    <row r="108" spans="1:13" s="14" customFormat="1" ht="41.25" customHeight="1">
      <c r="A108" s="150"/>
      <c r="B108" s="131"/>
      <c r="C108" s="18" t="s">
        <v>44</v>
      </c>
      <c r="D108" s="18" t="s">
        <v>9</v>
      </c>
      <c r="E108" s="19">
        <v>0</v>
      </c>
      <c r="F108" s="19">
        <f>G108+H108+I108+J108+K108</f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19"/>
      <c r="M108" s="70"/>
    </row>
    <row r="109" spans="1:13" s="14" customFormat="1" ht="47.25" customHeight="1">
      <c r="A109" s="150"/>
      <c r="B109" s="131"/>
      <c r="C109" s="18" t="s">
        <v>44</v>
      </c>
      <c r="D109" s="18" t="s">
        <v>10</v>
      </c>
      <c r="E109" s="19">
        <v>0</v>
      </c>
      <c r="F109" s="19">
        <f>G109+H109+I109+J109+K109</f>
        <v>233881</v>
      </c>
      <c r="G109" s="19">
        <f>160022-106807-2579</f>
        <v>50636</v>
      </c>
      <c r="H109" s="19">
        <v>108655</v>
      </c>
      <c r="I109" s="19">
        <v>74590</v>
      </c>
      <c r="J109" s="19">
        <v>0</v>
      </c>
      <c r="K109" s="19">
        <v>0</v>
      </c>
      <c r="L109" s="119"/>
      <c r="M109" s="70"/>
    </row>
    <row r="110" spans="1:13" s="14" customFormat="1" ht="48" customHeight="1">
      <c r="A110" s="150"/>
      <c r="B110" s="131"/>
      <c r="C110" s="18" t="s">
        <v>44</v>
      </c>
      <c r="D110" s="18" t="s">
        <v>11</v>
      </c>
      <c r="E110" s="19">
        <v>0</v>
      </c>
      <c r="F110" s="19">
        <f>G110+H110+I110+J110+K110</f>
        <v>131314.55</v>
      </c>
      <c r="G110" s="19">
        <f>91587+2530-61130-174.45+6778.4-300-7954.4</f>
        <v>31336.550000000003</v>
      </c>
      <c r="H110" s="19">
        <f>59282+6092.66-6092.66</f>
        <v>59282</v>
      </c>
      <c r="I110" s="19">
        <v>40696</v>
      </c>
      <c r="J110" s="19">
        <v>0</v>
      </c>
      <c r="K110" s="19">
        <v>0</v>
      </c>
      <c r="L110" s="119"/>
      <c r="M110" s="70"/>
    </row>
    <row r="111" spans="1:13" s="14" customFormat="1" ht="27" customHeight="1">
      <c r="A111" s="151"/>
      <c r="B111" s="132"/>
      <c r="C111" s="18" t="s">
        <v>44</v>
      </c>
      <c r="D111" s="18" t="s">
        <v>34</v>
      </c>
      <c r="E111" s="19">
        <v>0</v>
      </c>
      <c r="F111" s="19">
        <f>G111+H111+I111+J111+K111</f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20"/>
      <c r="M111" s="71"/>
    </row>
    <row r="112" spans="1:13" s="14" customFormat="1" ht="17.25" customHeight="1">
      <c r="A112" s="133" t="s">
        <v>98</v>
      </c>
      <c r="B112" s="127" t="s">
        <v>147</v>
      </c>
      <c r="C112" s="18" t="s">
        <v>44</v>
      </c>
      <c r="D112" s="18" t="s">
        <v>7</v>
      </c>
      <c r="E112" s="19">
        <f aca="true" t="shared" si="29" ref="E112:K112">E113+E114+E115+E116</f>
        <v>0</v>
      </c>
      <c r="F112" s="19">
        <f t="shared" si="29"/>
        <v>13257.529999999999</v>
      </c>
      <c r="G112" s="19">
        <f t="shared" si="29"/>
        <v>0</v>
      </c>
      <c r="H112" s="19">
        <f t="shared" si="29"/>
        <v>5216.4400000000005</v>
      </c>
      <c r="I112" s="19">
        <f t="shared" si="29"/>
        <v>4824.66</v>
      </c>
      <c r="J112" s="19">
        <f t="shared" si="29"/>
        <v>3216.43</v>
      </c>
      <c r="K112" s="19">
        <f t="shared" si="29"/>
        <v>0</v>
      </c>
      <c r="L112" s="118" t="s">
        <v>17</v>
      </c>
      <c r="M112" s="118"/>
    </row>
    <row r="113" spans="1:13" s="14" customFormat="1" ht="36.75" customHeight="1">
      <c r="A113" s="125"/>
      <c r="B113" s="128"/>
      <c r="C113" s="18" t="s">
        <v>44</v>
      </c>
      <c r="D113" s="18" t="s">
        <v>9</v>
      </c>
      <c r="E113" s="19">
        <v>0</v>
      </c>
      <c r="F113" s="19">
        <f>G113+H113+I113+J113+K113</f>
        <v>8235.56</v>
      </c>
      <c r="G113" s="19">
        <v>0</v>
      </c>
      <c r="H113" s="19">
        <v>2353.11</v>
      </c>
      <c r="I113" s="19">
        <v>3529.68</v>
      </c>
      <c r="J113" s="19">
        <f>2353.1-0.33</f>
        <v>2352.77</v>
      </c>
      <c r="K113" s="19">
        <v>0</v>
      </c>
      <c r="L113" s="119"/>
      <c r="M113" s="119"/>
    </row>
    <row r="114" spans="1:13" s="14" customFormat="1" ht="51.75" customHeight="1">
      <c r="A114" s="125"/>
      <c r="B114" s="128"/>
      <c r="C114" s="18" t="s">
        <v>44</v>
      </c>
      <c r="D114" s="18" t="s">
        <v>10</v>
      </c>
      <c r="E114" s="19">
        <v>0</v>
      </c>
      <c r="F114" s="19">
        <f>G114+H114+I114+J114+K114</f>
        <v>2747.44</v>
      </c>
      <c r="G114" s="19">
        <v>0</v>
      </c>
      <c r="H114" s="19">
        <v>784.89</v>
      </c>
      <c r="I114" s="19">
        <v>1177.32</v>
      </c>
      <c r="J114" s="19">
        <f>784.9+0.33</f>
        <v>785.23</v>
      </c>
      <c r="K114" s="19">
        <v>0</v>
      </c>
      <c r="L114" s="119"/>
      <c r="M114" s="119"/>
    </row>
    <row r="115" spans="1:13" s="14" customFormat="1" ht="63" customHeight="1">
      <c r="A115" s="125"/>
      <c r="B115" s="128"/>
      <c r="C115" s="18" t="s">
        <v>44</v>
      </c>
      <c r="D115" s="18" t="s">
        <v>11</v>
      </c>
      <c r="E115" s="19">
        <v>0</v>
      </c>
      <c r="F115" s="19">
        <f>G115+H115+I115+J115+K115</f>
        <v>2274.5299999999997</v>
      </c>
      <c r="G115" s="19">
        <v>0</v>
      </c>
      <c r="H115" s="19">
        <f>78.44+2000</f>
        <v>2078.44</v>
      </c>
      <c r="I115" s="19">
        <v>117.66</v>
      </c>
      <c r="J115" s="19">
        <v>78.43</v>
      </c>
      <c r="K115" s="19">
        <v>0</v>
      </c>
      <c r="L115" s="119"/>
      <c r="M115" s="119"/>
    </row>
    <row r="116" spans="1:13" s="14" customFormat="1" ht="27" customHeight="1">
      <c r="A116" s="126"/>
      <c r="B116" s="129"/>
      <c r="C116" s="18" t="s">
        <v>44</v>
      </c>
      <c r="D116" s="18" t="s">
        <v>34</v>
      </c>
      <c r="E116" s="19">
        <v>0</v>
      </c>
      <c r="F116" s="19">
        <f>G116+H116+I116+J116+K116</f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20"/>
      <c r="M116" s="120"/>
    </row>
    <row r="117" spans="1:13" s="14" customFormat="1" ht="22.5" customHeight="1">
      <c r="A117" s="133" t="s">
        <v>161</v>
      </c>
      <c r="B117" s="127" t="s">
        <v>162</v>
      </c>
      <c r="C117" s="18" t="s">
        <v>44</v>
      </c>
      <c r="D117" s="18" t="s">
        <v>7</v>
      </c>
      <c r="E117" s="19">
        <f>E118+E119+E120+E121</f>
        <v>0</v>
      </c>
      <c r="F117" s="19">
        <f aca="true" t="shared" si="30" ref="F117:K117">F118+F119+F120+F121</f>
        <v>30515.89</v>
      </c>
      <c r="G117" s="19">
        <f t="shared" si="30"/>
        <v>0</v>
      </c>
      <c r="H117" s="19">
        <f t="shared" si="30"/>
        <v>30515.89</v>
      </c>
      <c r="I117" s="19">
        <f t="shared" si="30"/>
        <v>0</v>
      </c>
      <c r="J117" s="19">
        <f t="shared" si="30"/>
        <v>0</v>
      </c>
      <c r="K117" s="19">
        <f t="shared" si="30"/>
        <v>0</v>
      </c>
      <c r="L117" s="118" t="s">
        <v>17</v>
      </c>
      <c r="M117" s="118"/>
    </row>
    <row r="118" spans="1:13" s="14" customFormat="1" ht="36.75" customHeight="1">
      <c r="A118" s="74"/>
      <c r="B118" s="76"/>
      <c r="C118" s="18" t="s">
        <v>44</v>
      </c>
      <c r="D118" s="18" t="s">
        <v>9</v>
      </c>
      <c r="E118" s="19">
        <v>0</v>
      </c>
      <c r="F118" s="19">
        <f>G118+H118+I118+J118+K118</f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19"/>
      <c r="M118" s="70"/>
    </row>
    <row r="119" spans="1:13" s="14" customFormat="1" ht="50.25" customHeight="1">
      <c r="A119" s="74"/>
      <c r="B119" s="76"/>
      <c r="C119" s="18" t="s">
        <v>44</v>
      </c>
      <c r="D119" s="18" t="s">
        <v>10</v>
      </c>
      <c r="E119" s="19">
        <v>0</v>
      </c>
      <c r="F119" s="19">
        <f>G119+H119+I119+J119+K119</f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19"/>
      <c r="M119" s="70"/>
    </row>
    <row r="120" spans="1:13" s="14" customFormat="1" ht="62.25" customHeight="1">
      <c r="A120" s="74"/>
      <c r="B120" s="76"/>
      <c r="C120" s="18" t="s">
        <v>44</v>
      </c>
      <c r="D120" s="18" t="s">
        <v>11</v>
      </c>
      <c r="E120" s="19">
        <v>0</v>
      </c>
      <c r="F120" s="19">
        <f>G120+H120+I120+J120+K120</f>
        <v>30515.89</v>
      </c>
      <c r="G120" s="19">
        <v>0</v>
      </c>
      <c r="H120" s="61">
        <f>6092.66+5200+4335+1638.23+13250</f>
        <v>30515.89</v>
      </c>
      <c r="I120" s="19">
        <v>0</v>
      </c>
      <c r="J120" s="19">
        <v>0</v>
      </c>
      <c r="K120" s="19">
        <v>0</v>
      </c>
      <c r="L120" s="119"/>
      <c r="M120" s="70"/>
    </row>
    <row r="121" spans="1:13" s="14" customFormat="1" ht="27" customHeight="1">
      <c r="A121" s="75"/>
      <c r="B121" s="77"/>
      <c r="C121" s="18" t="s">
        <v>44</v>
      </c>
      <c r="D121" s="18" t="s">
        <v>34</v>
      </c>
      <c r="E121" s="19">
        <v>0</v>
      </c>
      <c r="F121" s="19">
        <f>G121+H121+I121+J121+K121</f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20"/>
      <c r="M121" s="71"/>
    </row>
    <row r="122" spans="1:13" s="14" customFormat="1" ht="17.25" customHeight="1">
      <c r="A122" s="138" t="s">
        <v>42</v>
      </c>
      <c r="B122" s="155" t="s">
        <v>48</v>
      </c>
      <c r="C122" s="18" t="s">
        <v>44</v>
      </c>
      <c r="D122" s="18" t="s">
        <v>7</v>
      </c>
      <c r="E122" s="19">
        <f aca="true" t="shared" si="31" ref="E122:K122">E123+E124+E125+E126</f>
        <v>0</v>
      </c>
      <c r="F122" s="19">
        <f>F123+F124+F125+F126</f>
        <v>0</v>
      </c>
      <c r="G122" s="19">
        <f t="shared" si="31"/>
        <v>0</v>
      </c>
      <c r="H122" s="19">
        <f t="shared" si="31"/>
        <v>0</v>
      </c>
      <c r="I122" s="19">
        <f t="shared" si="31"/>
        <v>0</v>
      </c>
      <c r="J122" s="19">
        <f t="shared" si="31"/>
        <v>0</v>
      </c>
      <c r="K122" s="19">
        <f t="shared" si="31"/>
        <v>0</v>
      </c>
      <c r="L122" s="118" t="s">
        <v>16</v>
      </c>
      <c r="M122" s="118" t="s">
        <v>165</v>
      </c>
    </row>
    <row r="123" spans="1:13" s="14" customFormat="1" ht="41.25" customHeight="1">
      <c r="A123" s="139"/>
      <c r="B123" s="122"/>
      <c r="C123" s="18" t="s">
        <v>44</v>
      </c>
      <c r="D123" s="18" t="s">
        <v>9</v>
      </c>
      <c r="E123" s="19">
        <f>E128</f>
        <v>0</v>
      </c>
      <c r="F123" s="19">
        <f>G123+H123+I123+J123+K123</f>
        <v>0</v>
      </c>
      <c r="G123" s="19">
        <f>G128</f>
        <v>0</v>
      </c>
      <c r="H123" s="19">
        <f>H128</f>
        <v>0</v>
      </c>
      <c r="I123" s="19">
        <f>I128</f>
        <v>0</v>
      </c>
      <c r="J123" s="19">
        <f>J128</f>
        <v>0</v>
      </c>
      <c r="K123" s="19">
        <f>K128</f>
        <v>0</v>
      </c>
      <c r="L123" s="119"/>
      <c r="M123" s="119"/>
    </row>
    <row r="124" spans="1:13" s="14" customFormat="1" ht="59.25" customHeight="1">
      <c r="A124" s="139"/>
      <c r="B124" s="122"/>
      <c r="C124" s="18" t="s">
        <v>44</v>
      </c>
      <c r="D124" s="18" t="s">
        <v>10</v>
      </c>
      <c r="E124" s="19">
        <f>E129</f>
        <v>0</v>
      </c>
      <c r="F124" s="19">
        <f>G124+H124+I124+J124+K124</f>
        <v>0</v>
      </c>
      <c r="G124" s="19">
        <f aca="true" t="shared" si="32" ref="G124:K126">G129</f>
        <v>0</v>
      </c>
      <c r="H124" s="19">
        <f t="shared" si="32"/>
        <v>0</v>
      </c>
      <c r="I124" s="19">
        <f t="shared" si="32"/>
        <v>0</v>
      </c>
      <c r="J124" s="19">
        <f t="shared" si="32"/>
        <v>0</v>
      </c>
      <c r="K124" s="19">
        <f t="shared" si="32"/>
        <v>0</v>
      </c>
      <c r="L124" s="119"/>
      <c r="M124" s="119"/>
    </row>
    <row r="125" spans="1:13" s="14" customFormat="1" ht="65.25" customHeight="1">
      <c r="A125" s="139"/>
      <c r="B125" s="122"/>
      <c r="C125" s="18" t="s">
        <v>44</v>
      </c>
      <c r="D125" s="18" t="s">
        <v>11</v>
      </c>
      <c r="E125" s="19">
        <f>E130</f>
        <v>0</v>
      </c>
      <c r="F125" s="19">
        <f>G125+H125+I125+J125+K125</f>
        <v>0</v>
      </c>
      <c r="G125" s="19">
        <f t="shared" si="32"/>
        <v>0</v>
      </c>
      <c r="H125" s="19">
        <f t="shared" si="32"/>
        <v>0</v>
      </c>
      <c r="I125" s="19">
        <f t="shared" si="32"/>
        <v>0</v>
      </c>
      <c r="J125" s="19">
        <f t="shared" si="32"/>
        <v>0</v>
      </c>
      <c r="K125" s="19">
        <f t="shared" si="32"/>
        <v>0</v>
      </c>
      <c r="L125" s="119"/>
      <c r="M125" s="119"/>
    </row>
    <row r="126" spans="1:13" s="14" customFormat="1" ht="155.25" customHeight="1">
      <c r="A126" s="140"/>
      <c r="B126" s="123"/>
      <c r="C126" s="18" t="s">
        <v>44</v>
      </c>
      <c r="D126" s="18" t="s">
        <v>34</v>
      </c>
      <c r="E126" s="19">
        <f>E131</f>
        <v>0</v>
      </c>
      <c r="F126" s="19">
        <f>G126+H126+I126+J126+K126</f>
        <v>0</v>
      </c>
      <c r="G126" s="19">
        <f t="shared" si="32"/>
        <v>0</v>
      </c>
      <c r="H126" s="19">
        <f t="shared" si="32"/>
        <v>0</v>
      </c>
      <c r="I126" s="19">
        <f t="shared" si="32"/>
        <v>0</v>
      </c>
      <c r="J126" s="19">
        <f t="shared" si="32"/>
        <v>0</v>
      </c>
      <c r="K126" s="19">
        <f t="shared" si="32"/>
        <v>0</v>
      </c>
      <c r="L126" s="120"/>
      <c r="M126" s="120"/>
    </row>
    <row r="127" spans="1:13" s="14" customFormat="1" ht="22.5" customHeight="1">
      <c r="A127" s="138" t="s">
        <v>99</v>
      </c>
      <c r="B127" s="155" t="s">
        <v>148</v>
      </c>
      <c r="C127" s="18" t="s">
        <v>44</v>
      </c>
      <c r="D127" s="18" t="s">
        <v>7</v>
      </c>
      <c r="E127" s="19">
        <f aca="true" t="shared" si="33" ref="E127:K127">E128+E129+E130+E131</f>
        <v>0</v>
      </c>
      <c r="F127" s="19">
        <f>F128+F129+F130+F131</f>
        <v>0</v>
      </c>
      <c r="G127" s="19">
        <f t="shared" si="33"/>
        <v>0</v>
      </c>
      <c r="H127" s="19">
        <f t="shared" si="33"/>
        <v>0</v>
      </c>
      <c r="I127" s="19">
        <f t="shared" si="33"/>
        <v>0</v>
      </c>
      <c r="J127" s="19">
        <f t="shared" si="33"/>
        <v>0</v>
      </c>
      <c r="K127" s="19">
        <f t="shared" si="33"/>
        <v>0</v>
      </c>
      <c r="L127" s="118" t="s">
        <v>18</v>
      </c>
      <c r="M127" s="118"/>
    </row>
    <row r="128" spans="1:13" s="14" customFormat="1" ht="39.75" customHeight="1">
      <c r="A128" s="139"/>
      <c r="B128" s="122"/>
      <c r="C128" s="18" t="s">
        <v>44</v>
      </c>
      <c r="D128" s="18" t="s">
        <v>9</v>
      </c>
      <c r="E128" s="19">
        <v>0</v>
      </c>
      <c r="F128" s="19">
        <f>G128+H128+I128+J128+K128</f>
        <v>0</v>
      </c>
      <c r="G128" s="19">
        <v>0</v>
      </c>
      <c r="H128" s="19">
        <f>1312-1312</f>
        <v>0</v>
      </c>
      <c r="I128" s="19">
        <v>0</v>
      </c>
      <c r="J128" s="19">
        <v>0</v>
      </c>
      <c r="K128" s="19">
        <v>0</v>
      </c>
      <c r="L128" s="119"/>
      <c r="M128" s="119"/>
    </row>
    <row r="129" spans="1:13" s="14" customFormat="1" ht="52.5" customHeight="1">
      <c r="A129" s="139"/>
      <c r="B129" s="122"/>
      <c r="C129" s="18" t="s">
        <v>44</v>
      </c>
      <c r="D129" s="18" t="s">
        <v>10</v>
      </c>
      <c r="E129" s="19">
        <v>0</v>
      </c>
      <c r="F129" s="19">
        <f>G129+H129+I129+J129+K129</f>
        <v>0</v>
      </c>
      <c r="G129" s="19">
        <v>0</v>
      </c>
      <c r="H129" s="19">
        <f>1667-1667</f>
        <v>0</v>
      </c>
      <c r="I129" s="19">
        <v>0</v>
      </c>
      <c r="J129" s="19">
        <v>0</v>
      </c>
      <c r="K129" s="19">
        <v>0</v>
      </c>
      <c r="L129" s="119"/>
      <c r="M129" s="119"/>
    </row>
    <row r="130" spans="1:13" s="14" customFormat="1" ht="63.75" customHeight="1">
      <c r="A130" s="139"/>
      <c r="B130" s="122"/>
      <c r="C130" s="18" t="s">
        <v>44</v>
      </c>
      <c r="D130" s="18" t="s">
        <v>11</v>
      </c>
      <c r="E130" s="19">
        <v>0</v>
      </c>
      <c r="F130" s="19">
        <f>G130+H130+I130+J130+K130</f>
        <v>0</v>
      </c>
      <c r="G130" s="19">
        <v>0</v>
      </c>
      <c r="H130" s="19">
        <f>166.67-166.67</f>
        <v>0</v>
      </c>
      <c r="I130" s="19">
        <v>0</v>
      </c>
      <c r="J130" s="19">
        <v>0</v>
      </c>
      <c r="K130" s="19">
        <v>0</v>
      </c>
      <c r="L130" s="119"/>
      <c r="M130" s="119"/>
    </row>
    <row r="131" spans="1:13" s="14" customFormat="1" ht="27" customHeight="1">
      <c r="A131" s="140"/>
      <c r="B131" s="123"/>
      <c r="C131" s="18" t="s">
        <v>44</v>
      </c>
      <c r="D131" s="18" t="s">
        <v>34</v>
      </c>
      <c r="E131" s="19">
        <v>0</v>
      </c>
      <c r="F131" s="19">
        <f>G131+H131+I131+J131+K131</f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20"/>
      <c r="M131" s="120"/>
    </row>
    <row r="132" spans="1:13" s="14" customFormat="1" ht="26.25" customHeight="1">
      <c r="A132" s="133"/>
      <c r="B132" s="144" t="s">
        <v>1</v>
      </c>
      <c r="C132" s="18" t="s">
        <v>44</v>
      </c>
      <c r="D132" s="18" t="s">
        <v>7</v>
      </c>
      <c r="E132" s="19">
        <f aca="true" t="shared" si="34" ref="E132:K132">E133+E134+E135+E136</f>
        <v>2015717.5</v>
      </c>
      <c r="F132" s="53">
        <f t="shared" si="34"/>
        <v>12480310.75</v>
      </c>
      <c r="G132" s="53">
        <f t="shared" si="34"/>
        <v>2347011.15</v>
      </c>
      <c r="H132" s="19">
        <f t="shared" si="34"/>
        <v>2806809.19</v>
      </c>
      <c r="I132" s="19">
        <f t="shared" si="34"/>
        <v>2521045.14</v>
      </c>
      <c r="J132" s="19">
        <f t="shared" si="34"/>
        <v>2404330.52</v>
      </c>
      <c r="K132" s="19">
        <f t="shared" si="34"/>
        <v>2401114.75</v>
      </c>
      <c r="L132" s="118"/>
      <c r="M132" s="118"/>
    </row>
    <row r="133" spans="1:13" s="14" customFormat="1" ht="36">
      <c r="A133" s="147"/>
      <c r="B133" s="145"/>
      <c r="C133" s="18" t="s">
        <v>44</v>
      </c>
      <c r="D133" s="18" t="s">
        <v>9</v>
      </c>
      <c r="E133" s="19">
        <f>E6+E43+E93+E83+E123</f>
        <v>0</v>
      </c>
      <c r="F133" s="53">
        <f>G133+H133+I133+J133+K133</f>
        <v>593871.897</v>
      </c>
      <c r="G133" s="53">
        <f>G6+G43+G93+G123+G83</f>
        <v>53079.747</v>
      </c>
      <c r="H133" s="19">
        <f>H6+H43+H93+H123+H83</f>
        <v>149853.32</v>
      </c>
      <c r="I133" s="19">
        <f>I6+I43+I93+I123+I83</f>
        <v>158822.58</v>
      </c>
      <c r="J133" s="19">
        <f>J6+J43+J93+J123+J83</f>
        <v>157746.24999999997</v>
      </c>
      <c r="K133" s="19">
        <f>K6+K43+K93+K123+K83</f>
        <v>74370</v>
      </c>
      <c r="L133" s="119"/>
      <c r="M133" s="119"/>
    </row>
    <row r="134" spans="1:13" s="14" customFormat="1" ht="48">
      <c r="A134" s="147"/>
      <c r="B134" s="145"/>
      <c r="C134" s="18" t="s">
        <v>44</v>
      </c>
      <c r="D134" s="18" t="s">
        <v>10</v>
      </c>
      <c r="E134" s="19">
        <f>E7+E44+E94+E84+E124</f>
        <v>1702461</v>
      </c>
      <c r="F134" s="53">
        <f>G134+H134+I134+J134+K134</f>
        <v>9594037.803</v>
      </c>
      <c r="G134" s="53">
        <f>G7+G44+G94+G124</f>
        <v>1898026.253</v>
      </c>
      <c r="H134" s="19">
        <f>H7+H44+H94+H124</f>
        <v>2129639.18</v>
      </c>
      <c r="I134" s="19">
        <f>I7+I44+I94+I124</f>
        <v>1881877.96</v>
      </c>
      <c r="J134" s="19">
        <f>J7+J44+J94+J124</f>
        <v>1804673.41</v>
      </c>
      <c r="K134" s="19">
        <f>K7+K44+K94+K124</f>
        <v>1879821</v>
      </c>
      <c r="L134" s="119"/>
      <c r="M134" s="119"/>
    </row>
    <row r="135" spans="1:13" s="14" customFormat="1" ht="60">
      <c r="A135" s="147"/>
      <c r="B135" s="145"/>
      <c r="C135" s="18" t="s">
        <v>44</v>
      </c>
      <c r="D135" s="18" t="s">
        <v>11</v>
      </c>
      <c r="E135" s="19">
        <f>E8+E45+E95+E85+E125</f>
        <v>294995.5</v>
      </c>
      <c r="F135" s="19">
        <f>G135+H135+I135+J135+K135</f>
        <v>2084101.0499999998</v>
      </c>
      <c r="G135" s="19">
        <f>G8+G45+G85+G95+G125</f>
        <v>352405.15</v>
      </c>
      <c r="H135" s="19">
        <f>H8+H45+H85+H95+H125</f>
        <v>486116.68999999994</v>
      </c>
      <c r="I135" s="19">
        <f>I8+I45+I85+I95+I125</f>
        <v>439144.6</v>
      </c>
      <c r="J135" s="19">
        <f>J8+J45+J85+J95+J125</f>
        <v>400710.86</v>
      </c>
      <c r="K135" s="19">
        <f>K8+K45+K85+K95+K125</f>
        <v>405723.75</v>
      </c>
      <c r="L135" s="119"/>
      <c r="M135" s="119"/>
    </row>
    <row r="136" spans="1:13" s="14" customFormat="1" ht="24">
      <c r="A136" s="148"/>
      <c r="B136" s="146"/>
      <c r="C136" s="18" t="s">
        <v>44</v>
      </c>
      <c r="D136" s="18" t="s">
        <v>34</v>
      </c>
      <c r="E136" s="19">
        <f>E9+E46+E96+E86+E126</f>
        <v>18261</v>
      </c>
      <c r="F136" s="19">
        <f>G136+H136+I136+J136+K136</f>
        <v>208300</v>
      </c>
      <c r="G136" s="19">
        <f>G9+G46+G96+G126</f>
        <v>43500</v>
      </c>
      <c r="H136" s="19">
        <f>H9+H46+H96+H126</f>
        <v>41200</v>
      </c>
      <c r="I136" s="19">
        <f>I9+I46+I96+I126</f>
        <v>41200</v>
      </c>
      <c r="J136" s="19">
        <f>J9+J46+J96+J126</f>
        <v>41200</v>
      </c>
      <c r="K136" s="19">
        <f>K9+K46+K96+K126</f>
        <v>41200</v>
      </c>
      <c r="L136" s="120"/>
      <c r="M136" s="120"/>
    </row>
    <row r="137" spans="1:11" ht="0.75" customHeight="1">
      <c r="A137" s="27"/>
      <c r="B137" s="28"/>
      <c r="C137" s="29"/>
      <c r="D137" s="29"/>
      <c r="E137" s="30"/>
      <c r="F137" s="29"/>
      <c r="G137" s="29"/>
      <c r="H137" s="29"/>
      <c r="I137" s="29"/>
      <c r="J137" s="29"/>
      <c r="K137" s="29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</sheetData>
  <sheetProtection/>
  <mergeCells count="114">
    <mergeCell ref="L122:L126"/>
    <mergeCell ref="M47:M51"/>
    <mergeCell ref="M10:M14"/>
    <mergeCell ref="A30:A34"/>
    <mergeCell ref="B122:B126"/>
    <mergeCell ref="L87:L91"/>
    <mergeCell ref="M87:M91"/>
    <mergeCell ref="A72:A76"/>
    <mergeCell ref="B72:B76"/>
    <mergeCell ref="B52:B56"/>
    <mergeCell ref="B30:B34"/>
    <mergeCell ref="L77:L81"/>
    <mergeCell ref="B92:B96"/>
    <mergeCell ref="L72:L76"/>
    <mergeCell ref="M72:M76"/>
    <mergeCell ref="L52:L56"/>
    <mergeCell ref="B62:B66"/>
    <mergeCell ref="B82:B86"/>
    <mergeCell ref="B87:B91"/>
    <mergeCell ref="B57:B61"/>
    <mergeCell ref="L5:L9"/>
    <mergeCell ref="L82:L86"/>
    <mergeCell ref="L92:L96"/>
    <mergeCell ref="L30:L34"/>
    <mergeCell ref="M20:M24"/>
    <mergeCell ref="M5:M9"/>
    <mergeCell ref="L10:L14"/>
    <mergeCell ref="M77:M81"/>
    <mergeCell ref="L20:L24"/>
    <mergeCell ref="M92:M96"/>
    <mergeCell ref="L97:L101"/>
    <mergeCell ref="M82:M86"/>
    <mergeCell ref="L67:L71"/>
    <mergeCell ref="M67:M71"/>
    <mergeCell ref="B35:B36"/>
    <mergeCell ref="L35:L36"/>
    <mergeCell ref="L42:L46"/>
    <mergeCell ref="B77:B81"/>
    <mergeCell ref="B97:B101"/>
    <mergeCell ref="A4:M4"/>
    <mergeCell ref="D1:D2"/>
    <mergeCell ref="F1:F2"/>
    <mergeCell ref="L1:L2"/>
    <mergeCell ref="M1:M2"/>
    <mergeCell ref="E1:E2"/>
    <mergeCell ref="A1:A2"/>
    <mergeCell ref="B1:B2"/>
    <mergeCell ref="C1:C2"/>
    <mergeCell ref="G1:K1"/>
    <mergeCell ref="A5:A9"/>
    <mergeCell ref="A20:A24"/>
    <mergeCell ref="A10:A14"/>
    <mergeCell ref="A15:A19"/>
    <mergeCell ref="A25:A29"/>
    <mergeCell ref="B15:B19"/>
    <mergeCell ref="B25:B29"/>
    <mergeCell ref="B11:B14"/>
    <mergeCell ref="B5:B9"/>
    <mergeCell ref="M127:M131"/>
    <mergeCell ref="M15:M19"/>
    <mergeCell ref="M42:M46"/>
    <mergeCell ref="B42:B46"/>
    <mergeCell ref="L15:L19"/>
    <mergeCell ref="B20:B24"/>
    <mergeCell ref="L127:L131"/>
    <mergeCell ref="L57:L61"/>
    <mergeCell ref="M97:M101"/>
    <mergeCell ref="M107:M111"/>
    <mergeCell ref="M132:M136"/>
    <mergeCell ref="L132:L136"/>
    <mergeCell ref="L102:L106"/>
    <mergeCell ref="M102:M106"/>
    <mergeCell ref="B127:B131"/>
    <mergeCell ref="L107:L111"/>
    <mergeCell ref="L112:L116"/>
    <mergeCell ref="M122:M126"/>
    <mergeCell ref="M112:M116"/>
    <mergeCell ref="B102:B106"/>
    <mergeCell ref="B132:B136"/>
    <mergeCell ref="B112:B116"/>
    <mergeCell ref="A132:A136"/>
    <mergeCell ref="A107:A111"/>
    <mergeCell ref="A122:A126"/>
    <mergeCell ref="A102:A106"/>
    <mergeCell ref="B117:B121"/>
    <mergeCell ref="A97:A101"/>
    <mergeCell ref="A92:A96"/>
    <mergeCell ref="A82:A86"/>
    <mergeCell ref="A127:A131"/>
    <mergeCell ref="A112:A116"/>
    <mergeCell ref="A47:A51"/>
    <mergeCell ref="A52:A56"/>
    <mergeCell ref="A57:A61"/>
    <mergeCell ref="A117:A121"/>
    <mergeCell ref="A67:A71"/>
    <mergeCell ref="A77:A81"/>
    <mergeCell ref="M35:M36"/>
    <mergeCell ref="L62:L66"/>
    <mergeCell ref="M57:M61"/>
    <mergeCell ref="M62:M66"/>
    <mergeCell ref="M52:M56"/>
    <mergeCell ref="L47:L51"/>
    <mergeCell ref="A42:A46"/>
    <mergeCell ref="A35:A36"/>
    <mergeCell ref="M117:M121"/>
    <mergeCell ref="L117:L121"/>
    <mergeCell ref="A37:A41"/>
    <mergeCell ref="B37:B41"/>
    <mergeCell ref="L37:L41"/>
    <mergeCell ref="A62:A66"/>
    <mergeCell ref="B47:B51"/>
    <mergeCell ref="B107:B111"/>
    <mergeCell ref="B67:B71"/>
    <mergeCell ref="A87:A91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58">
      <selection activeCell="M10" sqref="M10:M14"/>
    </sheetView>
  </sheetViews>
  <sheetFormatPr defaultColWidth="9.00390625" defaultRowHeight="15"/>
  <cols>
    <col min="1" max="1" width="7.140625" style="0" customWidth="1"/>
    <col min="2" max="2" width="17.28125" style="0" customWidth="1"/>
    <col min="3" max="3" width="9.00390625" style="0" customWidth="1"/>
    <col min="4" max="4" width="11.00390625" style="0" customWidth="1"/>
    <col min="5" max="5" width="9.8515625" style="0" bestFit="1" customWidth="1"/>
    <col min="6" max="6" width="11.140625" style="0" bestFit="1" customWidth="1"/>
    <col min="7" max="7" width="9.8515625" style="0" bestFit="1" customWidth="1"/>
    <col min="8" max="8" width="9.8515625" style="8" customWidth="1"/>
    <col min="9" max="9" width="10.140625" style="8" customWidth="1"/>
    <col min="10" max="10" width="9.8515625" style="14" bestFit="1" customWidth="1"/>
    <col min="11" max="11" width="9.421875" style="0" customWidth="1"/>
    <col min="12" max="12" width="10.8515625" style="0" customWidth="1"/>
    <col min="13" max="13" width="25.140625" style="0" customWidth="1"/>
  </cols>
  <sheetData>
    <row r="1" spans="1:13" ht="61.5" customHeight="1">
      <c r="A1" s="98" t="s">
        <v>2</v>
      </c>
      <c r="B1" s="72" t="s">
        <v>36</v>
      </c>
      <c r="C1" s="98" t="s">
        <v>39</v>
      </c>
      <c r="D1" s="98" t="s">
        <v>3</v>
      </c>
      <c r="E1" s="98" t="s">
        <v>38</v>
      </c>
      <c r="F1" s="98" t="s">
        <v>4</v>
      </c>
      <c r="G1" s="98" t="s">
        <v>5</v>
      </c>
      <c r="H1" s="98"/>
      <c r="I1" s="98"/>
      <c r="J1" s="98"/>
      <c r="K1" s="98"/>
      <c r="L1" s="98" t="s">
        <v>6</v>
      </c>
      <c r="M1" s="98" t="s">
        <v>13</v>
      </c>
    </row>
    <row r="2" spans="1:13" ht="97.5" customHeight="1">
      <c r="A2" s="98"/>
      <c r="B2" s="72"/>
      <c r="C2" s="98"/>
      <c r="D2" s="98"/>
      <c r="E2" s="98"/>
      <c r="F2" s="98"/>
      <c r="G2" s="1" t="s">
        <v>82</v>
      </c>
      <c r="H2" s="7" t="s">
        <v>83</v>
      </c>
      <c r="I2" s="7" t="s">
        <v>79</v>
      </c>
      <c r="J2" s="1" t="s">
        <v>84</v>
      </c>
      <c r="K2" s="1" t="s">
        <v>85</v>
      </c>
      <c r="L2" s="98"/>
      <c r="M2" s="98"/>
    </row>
    <row r="3" spans="1:13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7">
        <v>8</v>
      </c>
      <c r="I3" s="7">
        <v>9</v>
      </c>
      <c r="J3" s="15">
        <v>10</v>
      </c>
      <c r="K3" s="1">
        <v>11</v>
      </c>
      <c r="L3" s="1">
        <v>12</v>
      </c>
      <c r="M3" s="1">
        <v>13</v>
      </c>
    </row>
    <row r="4" spans="1:13" ht="17.25" customHeight="1">
      <c r="A4" s="185" t="s">
        <v>23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21" customHeight="1">
      <c r="A5" s="138" t="s">
        <v>28</v>
      </c>
      <c r="B5" s="127" t="s">
        <v>116</v>
      </c>
      <c r="C5" s="18" t="s">
        <v>44</v>
      </c>
      <c r="D5" s="18" t="s">
        <v>7</v>
      </c>
      <c r="E5" s="19">
        <f aca="true" t="shared" si="0" ref="E5:K5">E6+E7+E8+E9</f>
        <v>304156.5</v>
      </c>
      <c r="F5" s="19">
        <f t="shared" si="0"/>
        <v>388449.55999999994</v>
      </c>
      <c r="G5" s="19">
        <f t="shared" si="0"/>
        <v>293796.4699999999</v>
      </c>
      <c r="H5" s="19">
        <f t="shared" si="0"/>
        <v>23112.45000000002</v>
      </c>
      <c r="I5" s="19">
        <f t="shared" si="0"/>
        <v>23846.88000000002</v>
      </c>
      <c r="J5" s="19">
        <f t="shared" si="0"/>
        <v>23846.88000000002</v>
      </c>
      <c r="K5" s="19">
        <f t="shared" si="0"/>
        <v>23846.88000000002</v>
      </c>
      <c r="L5" s="180" t="s">
        <v>59</v>
      </c>
      <c r="M5" s="66" t="s">
        <v>166</v>
      </c>
    </row>
    <row r="6" spans="1:13" ht="38.25" customHeight="1">
      <c r="A6" s="139"/>
      <c r="B6" s="128"/>
      <c r="C6" s="18" t="s">
        <v>44</v>
      </c>
      <c r="D6" s="18" t="s">
        <v>9</v>
      </c>
      <c r="E6" s="19">
        <f>E11</f>
        <v>0</v>
      </c>
      <c r="F6" s="19">
        <f>G6+H6+I6+J6+K6</f>
        <v>0</v>
      </c>
      <c r="G6" s="19">
        <f>G11+G16</f>
        <v>0</v>
      </c>
      <c r="H6" s="19">
        <f>H11+H16</f>
        <v>0</v>
      </c>
      <c r="I6" s="19">
        <f>I11+I16</f>
        <v>0</v>
      </c>
      <c r="J6" s="19">
        <f>J11+J16</f>
        <v>0</v>
      </c>
      <c r="K6" s="19">
        <f>K11+K16</f>
        <v>0</v>
      </c>
      <c r="L6" s="180"/>
      <c r="M6" s="78"/>
    </row>
    <row r="7" spans="1:13" ht="50.25" customHeight="1">
      <c r="A7" s="139"/>
      <c r="B7" s="128"/>
      <c r="C7" s="18" t="s">
        <v>44</v>
      </c>
      <c r="D7" s="18" t="s">
        <v>10</v>
      </c>
      <c r="E7" s="19">
        <f>E12</f>
        <v>0</v>
      </c>
      <c r="F7" s="19">
        <f>G7+H7+I7+J7+K7</f>
        <v>0</v>
      </c>
      <c r="G7" s="19">
        <f aca="true" t="shared" si="1" ref="G7:K9">G12+G17</f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80"/>
      <c r="M7" s="78"/>
    </row>
    <row r="8" spans="1:17" ht="64.5" customHeight="1">
      <c r="A8" s="139"/>
      <c r="B8" s="128"/>
      <c r="C8" s="18" t="s">
        <v>44</v>
      </c>
      <c r="D8" s="26" t="s">
        <v>11</v>
      </c>
      <c r="E8" s="19">
        <f>E13</f>
        <v>303953.5</v>
      </c>
      <c r="F8" s="19">
        <f>G8+H8+I8+J8+K8</f>
        <v>387941.55999999994</v>
      </c>
      <c r="G8" s="19">
        <f>G13+G18</f>
        <v>293688.4699999999</v>
      </c>
      <c r="H8" s="19">
        <f t="shared" si="1"/>
        <v>23012.45000000002</v>
      </c>
      <c r="I8" s="19">
        <f t="shared" si="1"/>
        <v>23746.88000000002</v>
      </c>
      <c r="J8" s="19">
        <f t="shared" si="1"/>
        <v>23746.88000000002</v>
      </c>
      <c r="K8" s="19">
        <f t="shared" si="1"/>
        <v>23746.88000000002</v>
      </c>
      <c r="L8" s="180"/>
      <c r="M8" s="78"/>
      <c r="Q8" s="182"/>
    </row>
    <row r="9" spans="1:17" ht="103.5" customHeight="1">
      <c r="A9" s="140"/>
      <c r="B9" s="129"/>
      <c r="C9" s="18" t="s">
        <v>44</v>
      </c>
      <c r="D9" s="18" t="s">
        <v>34</v>
      </c>
      <c r="E9" s="19">
        <f>E14</f>
        <v>203</v>
      </c>
      <c r="F9" s="19">
        <f>G9+H9+I9+J9+K9</f>
        <v>508</v>
      </c>
      <c r="G9" s="19">
        <f t="shared" si="1"/>
        <v>108</v>
      </c>
      <c r="H9" s="19">
        <f t="shared" si="1"/>
        <v>100</v>
      </c>
      <c r="I9" s="19">
        <f t="shared" si="1"/>
        <v>100</v>
      </c>
      <c r="J9" s="19">
        <f t="shared" si="1"/>
        <v>100</v>
      </c>
      <c r="K9" s="19">
        <f t="shared" si="1"/>
        <v>100</v>
      </c>
      <c r="L9" s="180"/>
      <c r="M9" s="81"/>
      <c r="P9" s="38"/>
      <c r="Q9" s="182"/>
    </row>
    <row r="10" spans="1:13" ht="27.75" customHeight="1">
      <c r="A10" s="181" t="s">
        <v>33</v>
      </c>
      <c r="B10" s="127" t="s">
        <v>149</v>
      </c>
      <c r="C10" s="18" t="s">
        <v>44</v>
      </c>
      <c r="D10" s="18" t="s">
        <v>7</v>
      </c>
      <c r="E10" s="19">
        <f aca="true" t="shared" si="2" ref="E10:K10">E11+E12+E13+E14</f>
        <v>304156.5</v>
      </c>
      <c r="F10" s="19">
        <f t="shared" si="2"/>
        <v>364650.48000000004</v>
      </c>
      <c r="G10" s="19">
        <f t="shared" si="2"/>
        <v>291396.4699999999</v>
      </c>
      <c r="H10" s="19">
        <f t="shared" si="2"/>
        <v>18658.17000000002</v>
      </c>
      <c r="I10" s="19">
        <f t="shared" si="2"/>
        <v>18265.280000000017</v>
      </c>
      <c r="J10" s="19">
        <f t="shared" si="2"/>
        <v>18265.280000000017</v>
      </c>
      <c r="K10" s="19">
        <f t="shared" si="2"/>
        <v>18065.280000000017</v>
      </c>
      <c r="L10" s="180" t="s">
        <v>59</v>
      </c>
      <c r="M10" s="88"/>
    </row>
    <row r="11" spans="1:13" ht="38.25" customHeight="1">
      <c r="A11" s="181"/>
      <c r="B11" s="70"/>
      <c r="C11" s="18" t="s">
        <v>44</v>
      </c>
      <c r="D11" s="18" t="s">
        <v>9</v>
      </c>
      <c r="E11" s="19">
        <v>0</v>
      </c>
      <c r="F11" s="19">
        <f>G11+H11+I11+J11+K11</f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0"/>
      <c r="M11" s="89"/>
    </row>
    <row r="12" spans="1:13" ht="43.5" customHeight="1">
      <c r="A12" s="181"/>
      <c r="B12" s="70"/>
      <c r="C12" s="18" t="s">
        <v>44</v>
      </c>
      <c r="D12" s="18" t="s">
        <v>10</v>
      </c>
      <c r="E12" s="19">
        <v>0</v>
      </c>
      <c r="F12" s="19">
        <f>G12+H12+I12+J12+K12</f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0"/>
      <c r="M12" s="89"/>
    </row>
    <row r="13" spans="1:13" ht="60.75" customHeight="1">
      <c r="A13" s="181"/>
      <c r="B13" s="70"/>
      <c r="C13" s="18" t="s">
        <v>44</v>
      </c>
      <c r="D13" s="18" t="s">
        <v>11</v>
      </c>
      <c r="E13" s="19">
        <v>303953.5</v>
      </c>
      <c r="F13" s="19">
        <f>G13+H13+I13+J13+K13</f>
        <v>364142.48000000004</v>
      </c>
      <c r="G13" s="19">
        <f>302679-2400+11339.8+78.12-300-106+2280-18516.65+1450-3129.2-574.9-1136-375.7</f>
        <v>291288.4699999999</v>
      </c>
      <c r="H13" s="61">
        <f>212828.2-201908.9-732.66+7045.98+97.65+200+628.9+399</f>
        <v>18558.17000000002</v>
      </c>
      <c r="I13" s="19">
        <f>212828.2+5781.6-5781.6-201908.9+7045.98+200</f>
        <v>18165.280000000017</v>
      </c>
      <c r="J13" s="19">
        <f>212828.2+5781.6-5781.6-201908.9+7045.98+200</f>
        <v>18165.280000000017</v>
      </c>
      <c r="K13" s="19">
        <f>212828.2+5781.6-5781.6-201908.9+7045.98</f>
        <v>17965.280000000017</v>
      </c>
      <c r="L13" s="180"/>
      <c r="M13" s="89"/>
    </row>
    <row r="14" spans="1:13" ht="30" customHeight="1">
      <c r="A14" s="181"/>
      <c r="B14" s="71"/>
      <c r="C14" s="18" t="s">
        <v>44</v>
      </c>
      <c r="D14" s="18" t="s">
        <v>34</v>
      </c>
      <c r="E14" s="19">
        <v>203</v>
      </c>
      <c r="F14" s="19">
        <f>G14+H14+I14+J14+K14</f>
        <v>508</v>
      </c>
      <c r="G14" s="19">
        <f>150-42</f>
        <v>108</v>
      </c>
      <c r="H14" s="19">
        <f>150-50</f>
        <v>100</v>
      </c>
      <c r="I14" s="19">
        <f>150-50</f>
        <v>100</v>
      </c>
      <c r="J14" s="19">
        <f>150-50</f>
        <v>100</v>
      </c>
      <c r="K14" s="19">
        <f>150-50</f>
        <v>100</v>
      </c>
      <c r="L14" s="180"/>
      <c r="M14" s="186"/>
    </row>
    <row r="15" spans="1:13" ht="24" customHeight="1">
      <c r="A15" s="138" t="s">
        <v>104</v>
      </c>
      <c r="B15" s="127" t="s">
        <v>150</v>
      </c>
      <c r="C15" s="18" t="s">
        <v>44</v>
      </c>
      <c r="D15" s="18" t="s">
        <v>7</v>
      </c>
      <c r="E15" s="19">
        <f>E16+E17+E18+E19</f>
        <v>0</v>
      </c>
      <c r="F15" s="19">
        <f aca="true" t="shared" si="3" ref="F15:K15">F16+F17+F18+F19</f>
        <v>23799.08</v>
      </c>
      <c r="G15" s="19">
        <f t="shared" si="3"/>
        <v>2400</v>
      </c>
      <c r="H15" s="19">
        <f t="shared" si="3"/>
        <v>4454.280000000001</v>
      </c>
      <c r="I15" s="19">
        <f t="shared" si="3"/>
        <v>5581.6</v>
      </c>
      <c r="J15" s="19">
        <f t="shared" si="3"/>
        <v>5581.6</v>
      </c>
      <c r="K15" s="19">
        <f t="shared" si="3"/>
        <v>5781.6</v>
      </c>
      <c r="L15" s="127" t="s">
        <v>105</v>
      </c>
      <c r="M15" s="88"/>
    </row>
    <row r="16" spans="1:13" ht="38.25" customHeight="1">
      <c r="A16" s="105"/>
      <c r="B16" s="70"/>
      <c r="C16" s="18" t="s">
        <v>44</v>
      </c>
      <c r="D16" s="18" t="s">
        <v>9</v>
      </c>
      <c r="E16" s="19">
        <v>0</v>
      </c>
      <c r="F16" s="19">
        <f>G16+H16+I16+J16+K16</f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70"/>
      <c r="M16" s="70"/>
    </row>
    <row r="17" spans="1:13" ht="51" customHeight="1">
      <c r="A17" s="105"/>
      <c r="B17" s="70"/>
      <c r="C17" s="18" t="s">
        <v>44</v>
      </c>
      <c r="D17" s="18" t="s">
        <v>10</v>
      </c>
      <c r="E17" s="19">
        <v>0</v>
      </c>
      <c r="F17" s="19">
        <f>G17+H17+I17+J17+K17</f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70"/>
      <c r="M17" s="70"/>
    </row>
    <row r="18" spans="1:13" ht="62.25" customHeight="1">
      <c r="A18" s="105"/>
      <c r="B18" s="70"/>
      <c r="C18" s="18" t="s">
        <v>44</v>
      </c>
      <c r="D18" s="18" t="s">
        <v>11</v>
      </c>
      <c r="E18" s="19">
        <v>0</v>
      </c>
      <c r="F18" s="19">
        <f>G18+H18+I18+J18+K18</f>
        <v>23799.08</v>
      </c>
      <c r="G18" s="19">
        <v>2400</v>
      </c>
      <c r="H18" s="19">
        <f>5781.6-704.24-423.08-200</f>
        <v>4454.280000000001</v>
      </c>
      <c r="I18" s="19">
        <f>5781.6-200</f>
        <v>5581.6</v>
      </c>
      <c r="J18" s="19">
        <f>5781.6-200</f>
        <v>5581.6</v>
      </c>
      <c r="K18" s="19">
        <v>5781.6</v>
      </c>
      <c r="L18" s="70"/>
      <c r="M18" s="70"/>
    </row>
    <row r="19" spans="1:13" ht="30" customHeight="1">
      <c r="A19" s="106"/>
      <c r="B19" s="71"/>
      <c r="C19" s="18" t="s">
        <v>44</v>
      </c>
      <c r="D19" s="18" t="s">
        <v>34</v>
      </c>
      <c r="E19" s="19">
        <v>0</v>
      </c>
      <c r="F19" s="19">
        <f>G19+H19+I19+J19+K19</f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71"/>
      <c r="M19" s="71"/>
    </row>
    <row r="20" spans="1:13" ht="24.75" customHeight="1">
      <c r="A20" s="93" t="s">
        <v>29</v>
      </c>
      <c r="B20" s="130" t="s">
        <v>173</v>
      </c>
      <c r="C20" s="18" t="s">
        <v>44</v>
      </c>
      <c r="D20" s="18" t="s">
        <v>7</v>
      </c>
      <c r="E20" s="19">
        <f>E21+E22+E23+E24</f>
        <v>0</v>
      </c>
      <c r="F20" s="19">
        <f aca="true" t="shared" si="4" ref="F20:K20">F21+F22+F23+F24</f>
        <v>0</v>
      </c>
      <c r="G20" s="19">
        <f t="shared" si="4"/>
        <v>0</v>
      </c>
      <c r="H20" s="19">
        <f t="shared" si="4"/>
        <v>0</v>
      </c>
      <c r="I20" s="19">
        <f t="shared" si="4"/>
        <v>0</v>
      </c>
      <c r="J20" s="19">
        <f t="shared" si="4"/>
        <v>0</v>
      </c>
      <c r="K20" s="19">
        <f t="shared" si="4"/>
        <v>0</v>
      </c>
      <c r="L20" s="180" t="s">
        <v>41</v>
      </c>
      <c r="M20" s="109" t="s">
        <v>69</v>
      </c>
    </row>
    <row r="21" spans="1:13" ht="39" customHeight="1">
      <c r="A21" s="142"/>
      <c r="B21" s="158"/>
      <c r="C21" s="18" t="s">
        <v>44</v>
      </c>
      <c r="D21" s="18" t="s">
        <v>9</v>
      </c>
      <c r="E21" s="19">
        <v>0</v>
      </c>
      <c r="F21" s="19">
        <f>G21+H21+I21+J21+K21</f>
        <v>0</v>
      </c>
      <c r="G21" s="19">
        <f aca="true" t="shared" si="5" ref="G21:K24">G26</f>
        <v>0</v>
      </c>
      <c r="H21" s="19">
        <f t="shared" si="5"/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80"/>
      <c r="M21" s="70"/>
    </row>
    <row r="22" spans="1:13" ht="50.25" customHeight="1">
      <c r="A22" s="142"/>
      <c r="B22" s="158"/>
      <c r="C22" s="18" t="s">
        <v>44</v>
      </c>
      <c r="D22" s="18" t="s">
        <v>10</v>
      </c>
      <c r="E22" s="19">
        <v>0</v>
      </c>
      <c r="F22" s="19">
        <f>G22+H22+I22+J22+K22</f>
        <v>0</v>
      </c>
      <c r="G22" s="19">
        <f t="shared" si="5"/>
        <v>0</v>
      </c>
      <c r="H22" s="19">
        <f t="shared" si="5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80"/>
      <c r="M22" s="70"/>
    </row>
    <row r="23" spans="1:13" ht="63" customHeight="1">
      <c r="A23" s="142"/>
      <c r="B23" s="158"/>
      <c r="C23" s="18" t="s">
        <v>44</v>
      </c>
      <c r="D23" s="18" t="s">
        <v>11</v>
      </c>
      <c r="E23" s="19">
        <v>0</v>
      </c>
      <c r="F23" s="19">
        <f>G23+H23+I23+J23+K23</f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80"/>
      <c r="M23" s="70"/>
    </row>
    <row r="24" spans="1:13" ht="30" customHeight="1">
      <c r="A24" s="143"/>
      <c r="B24" s="159"/>
      <c r="C24" s="18" t="s">
        <v>44</v>
      </c>
      <c r="D24" s="18" t="s">
        <v>34</v>
      </c>
      <c r="E24" s="19">
        <v>0</v>
      </c>
      <c r="F24" s="19">
        <f>G24+H24+I24+J24+K24</f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80"/>
      <c r="M24" s="71"/>
    </row>
    <row r="25" spans="1:13" ht="27" customHeight="1">
      <c r="A25" s="108" t="s">
        <v>31</v>
      </c>
      <c r="B25" s="109" t="s">
        <v>151</v>
      </c>
      <c r="C25" s="18" t="s">
        <v>44</v>
      </c>
      <c r="D25" s="18" t="s">
        <v>7</v>
      </c>
      <c r="E25" s="19">
        <f>E26+E27+E28+E29</f>
        <v>0</v>
      </c>
      <c r="F25" s="19">
        <f aca="true" t="shared" si="6" ref="F25:K25">F26+F27+F28+F29</f>
        <v>0</v>
      </c>
      <c r="G25" s="19">
        <f t="shared" si="6"/>
        <v>0</v>
      </c>
      <c r="H25" s="19">
        <f t="shared" si="6"/>
        <v>0</v>
      </c>
      <c r="I25" s="19">
        <f t="shared" si="6"/>
        <v>0</v>
      </c>
      <c r="J25" s="19">
        <f t="shared" si="6"/>
        <v>0</v>
      </c>
      <c r="K25" s="19">
        <f t="shared" si="6"/>
        <v>0</v>
      </c>
      <c r="L25" s="180" t="s">
        <v>41</v>
      </c>
      <c r="M25" s="69"/>
    </row>
    <row r="26" spans="1:13" ht="39" customHeight="1">
      <c r="A26" s="74"/>
      <c r="B26" s="76"/>
      <c r="C26" s="18" t="s">
        <v>44</v>
      </c>
      <c r="D26" s="18" t="s">
        <v>9</v>
      </c>
      <c r="E26" s="19">
        <v>0</v>
      </c>
      <c r="F26" s="19">
        <f>G26+H26+I26+J26+K26</f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80"/>
      <c r="M26" s="70"/>
    </row>
    <row r="27" spans="1:13" ht="51.75" customHeight="1">
      <c r="A27" s="74"/>
      <c r="B27" s="76"/>
      <c r="C27" s="18" t="s">
        <v>44</v>
      </c>
      <c r="D27" s="18" t="s">
        <v>10</v>
      </c>
      <c r="E27" s="19">
        <v>0</v>
      </c>
      <c r="F27" s="19">
        <f>G27+H27+I27+J27+K27</f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80"/>
      <c r="M27" s="70"/>
    </row>
    <row r="28" spans="1:13" ht="63.75" customHeight="1">
      <c r="A28" s="74"/>
      <c r="B28" s="76"/>
      <c r="C28" s="18" t="s">
        <v>44</v>
      </c>
      <c r="D28" s="18" t="s">
        <v>11</v>
      </c>
      <c r="E28" s="19">
        <v>0</v>
      </c>
      <c r="F28" s="19">
        <f>G28+H28+I28+J28+K28</f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80"/>
      <c r="M28" s="70"/>
    </row>
    <row r="29" spans="1:13" ht="30" customHeight="1">
      <c r="A29" s="75"/>
      <c r="B29" s="77"/>
      <c r="C29" s="18" t="s">
        <v>44</v>
      </c>
      <c r="D29" s="18" t="s">
        <v>34</v>
      </c>
      <c r="E29" s="19">
        <v>0</v>
      </c>
      <c r="F29" s="19">
        <f>G29+H29+I29+J29+K29</f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80"/>
      <c r="M29" s="71"/>
    </row>
    <row r="30" spans="1:13" ht="19.5" customHeight="1">
      <c r="A30" s="138" t="s">
        <v>30</v>
      </c>
      <c r="B30" s="127" t="s">
        <v>117</v>
      </c>
      <c r="C30" s="18" t="s">
        <v>44</v>
      </c>
      <c r="D30" s="18" t="s">
        <v>7</v>
      </c>
      <c r="E30" s="19">
        <f aca="true" t="shared" si="7" ref="E30:K30">E31+E32+E33+E34</f>
        <v>18015</v>
      </c>
      <c r="F30" s="19">
        <f t="shared" si="7"/>
        <v>372057.57000000007</v>
      </c>
      <c r="G30" s="19">
        <f t="shared" si="7"/>
        <v>25073.750000000004</v>
      </c>
      <c r="H30" s="19">
        <f t="shared" si="7"/>
        <v>87612.76000000001</v>
      </c>
      <c r="I30" s="19">
        <f t="shared" si="7"/>
        <v>86457.02</v>
      </c>
      <c r="J30" s="19">
        <f t="shared" si="7"/>
        <v>86457.02</v>
      </c>
      <c r="K30" s="19">
        <f t="shared" si="7"/>
        <v>86457.02</v>
      </c>
      <c r="L30" s="180" t="s">
        <v>60</v>
      </c>
      <c r="M30" s="88" t="s">
        <v>69</v>
      </c>
    </row>
    <row r="31" spans="1:13" ht="36">
      <c r="A31" s="139"/>
      <c r="B31" s="128"/>
      <c r="C31" s="18" t="s">
        <v>44</v>
      </c>
      <c r="D31" s="18" t="s">
        <v>9</v>
      </c>
      <c r="E31" s="19">
        <f>E36</f>
        <v>0</v>
      </c>
      <c r="F31" s="19">
        <f>G31+H31+I31+J31+K31</f>
        <v>0</v>
      </c>
      <c r="G31" s="19">
        <f aca="true" t="shared" si="8" ref="G31:K33">G36</f>
        <v>0</v>
      </c>
      <c r="H31" s="19">
        <f t="shared" si="8"/>
        <v>0</v>
      </c>
      <c r="I31" s="19">
        <f t="shared" si="8"/>
        <v>0</v>
      </c>
      <c r="J31" s="19">
        <f t="shared" si="8"/>
        <v>0</v>
      </c>
      <c r="K31" s="19">
        <f t="shared" si="8"/>
        <v>0</v>
      </c>
      <c r="L31" s="180"/>
      <c r="M31" s="89"/>
    </row>
    <row r="32" spans="1:13" ht="48">
      <c r="A32" s="139"/>
      <c r="B32" s="128"/>
      <c r="C32" s="18" t="s">
        <v>44</v>
      </c>
      <c r="D32" s="18" t="s">
        <v>10</v>
      </c>
      <c r="E32" s="19">
        <f>E37</f>
        <v>0</v>
      </c>
      <c r="F32" s="19">
        <f>G32+H32+I32+J32+K32</f>
        <v>0</v>
      </c>
      <c r="G32" s="19">
        <f t="shared" si="8"/>
        <v>0</v>
      </c>
      <c r="H32" s="19">
        <f t="shared" si="8"/>
        <v>0</v>
      </c>
      <c r="I32" s="19">
        <f t="shared" si="8"/>
        <v>0</v>
      </c>
      <c r="J32" s="19">
        <f t="shared" si="8"/>
        <v>0</v>
      </c>
      <c r="K32" s="19">
        <f t="shared" si="8"/>
        <v>0</v>
      </c>
      <c r="L32" s="180"/>
      <c r="M32" s="89"/>
    </row>
    <row r="33" spans="1:13" ht="60">
      <c r="A33" s="139"/>
      <c r="B33" s="128"/>
      <c r="C33" s="18" t="s">
        <v>44</v>
      </c>
      <c r="D33" s="18" t="s">
        <v>11</v>
      </c>
      <c r="E33" s="19">
        <f>E38</f>
        <v>18015</v>
      </c>
      <c r="F33" s="19">
        <f>G33+H33+I33+J33+K33</f>
        <v>372057.57000000007</v>
      </c>
      <c r="G33" s="19">
        <f t="shared" si="8"/>
        <v>25073.750000000004</v>
      </c>
      <c r="H33" s="19">
        <f t="shared" si="8"/>
        <v>87612.76000000001</v>
      </c>
      <c r="I33" s="19">
        <f t="shared" si="8"/>
        <v>86457.02</v>
      </c>
      <c r="J33" s="19">
        <f t="shared" si="8"/>
        <v>86457.02</v>
      </c>
      <c r="K33" s="19">
        <f t="shared" si="8"/>
        <v>86457.02</v>
      </c>
      <c r="L33" s="180"/>
      <c r="M33" s="89"/>
    </row>
    <row r="34" spans="1:13" ht="32.25" customHeight="1">
      <c r="A34" s="140"/>
      <c r="B34" s="129"/>
      <c r="C34" s="18" t="s">
        <v>44</v>
      </c>
      <c r="D34" s="18" t="s">
        <v>34</v>
      </c>
      <c r="E34" s="19">
        <f aca="true" t="shared" si="9" ref="E34:K34">E39</f>
        <v>0</v>
      </c>
      <c r="F34" s="19">
        <f>G34+H34+I34+J34+K34</f>
        <v>0</v>
      </c>
      <c r="G34" s="19">
        <f t="shared" si="9"/>
        <v>0</v>
      </c>
      <c r="H34" s="19">
        <f t="shared" si="9"/>
        <v>0</v>
      </c>
      <c r="I34" s="19">
        <f t="shared" si="9"/>
        <v>0</v>
      </c>
      <c r="J34" s="19">
        <f t="shared" si="9"/>
        <v>0</v>
      </c>
      <c r="K34" s="19">
        <f t="shared" si="9"/>
        <v>0</v>
      </c>
      <c r="L34" s="180"/>
      <c r="M34" s="186"/>
    </row>
    <row r="35" spans="1:13" ht="19.5" customHeight="1">
      <c r="A35" s="181" t="s">
        <v>32</v>
      </c>
      <c r="B35" s="17" t="s">
        <v>152</v>
      </c>
      <c r="C35" s="18" t="s">
        <v>44</v>
      </c>
      <c r="D35" s="18" t="s">
        <v>7</v>
      </c>
      <c r="E35" s="19">
        <f aca="true" t="shared" si="10" ref="E35:K35">E36+E37+E38+E39</f>
        <v>18015</v>
      </c>
      <c r="F35" s="19">
        <f t="shared" si="10"/>
        <v>372057.57000000007</v>
      </c>
      <c r="G35" s="19">
        <f t="shared" si="10"/>
        <v>25073.750000000004</v>
      </c>
      <c r="H35" s="19">
        <f t="shared" si="10"/>
        <v>87612.76000000001</v>
      </c>
      <c r="I35" s="19">
        <f t="shared" si="10"/>
        <v>86457.02</v>
      </c>
      <c r="J35" s="19">
        <f t="shared" si="10"/>
        <v>86457.02</v>
      </c>
      <c r="K35" s="19">
        <f t="shared" si="10"/>
        <v>86457.02</v>
      </c>
      <c r="L35" s="180" t="s">
        <v>61</v>
      </c>
      <c r="M35" s="187"/>
    </row>
    <row r="36" spans="1:13" ht="36">
      <c r="A36" s="181"/>
      <c r="B36" s="128" t="s">
        <v>56</v>
      </c>
      <c r="C36" s="18" t="s">
        <v>44</v>
      </c>
      <c r="D36" s="18" t="s">
        <v>9</v>
      </c>
      <c r="E36" s="19">
        <v>0</v>
      </c>
      <c r="F36" s="19">
        <f>G36+H36+I36+J36+K36</f>
        <v>0</v>
      </c>
      <c r="G36" s="19">
        <v>0</v>
      </c>
      <c r="H36" s="19">
        <v>0</v>
      </c>
      <c r="I36" s="19">
        <v>0</v>
      </c>
      <c r="J36" s="31">
        <v>0</v>
      </c>
      <c r="K36" s="31">
        <v>0</v>
      </c>
      <c r="L36" s="180"/>
      <c r="M36" s="187"/>
    </row>
    <row r="37" spans="1:13" ht="51" customHeight="1">
      <c r="A37" s="181"/>
      <c r="B37" s="128"/>
      <c r="C37" s="18" t="s">
        <v>44</v>
      </c>
      <c r="D37" s="18" t="s">
        <v>10</v>
      </c>
      <c r="E37" s="19">
        <v>0</v>
      </c>
      <c r="F37" s="19">
        <f>G37+H37+I37+J37+K37</f>
        <v>0</v>
      </c>
      <c r="G37" s="19">
        <v>0</v>
      </c>
      <c r="H37" s="19">
        <v>0</v>
      </c>
      <c r="I37" s="19">
        <v>0</v>
      </c>
      <c r="J37" s="31">
        <v>0</v>
      </c>
      <c r="K37" s="31">
        <v>0</v>
      </c>
      <c r="L37" s="180"/>
      <c r="M37" s="187"/>
    </row>
    <row r="38" spans="1:13" ht="60">
      <c r="A38" s="181"/>
      <c r="B38" s="128"/>
      <c r="C38" s="18" t="s">
        <v>44</v>
      </c>
      <c r="D38" s="18" t="s">
        <v>11</v>
      </c>
      <c r="E38" s="19">
        <v>18015</v>
      </c>
      <c r="F38" s="19">
        <f>G38+H38+I38+J38+K38</f>
        <v>372057.57000000007</v>
      </c>
      <c r="G38" s="19">
        <f>4838+12484-11339.8+18516.65+574.9</f>
        <v>25073.750000000004</v>
      </c>
      <c r="H38" s="19">
        <f>82807+1155.74+3650.02</f>
        <v>87612.76000000001</v>
      </c>
      <c r="I38" s="19">
        <f>82807+3650.02</f>
        <v>86457.02</v>
      </c>
      <c r="J38" s="19">
        <f>82807+3650.02</f>
        <v>86457.02</v>
      </c>
      <c r="K38" s="19">
        <f>82807+3650.02</f>
        <v>86457.02</v>
      </c>
      <c r="L38" s="180"/>
      <c r="M38" s="187"/>
    </row>
    <row r="39" spans="1:13" ht="27.75" customHeight="1">
      <c r="A39" s="181"/>
      <c r="B39" s="129"/>
      <c r="C39" s="18" t="s">
        <v>44</v>
      </c>
      <c r="D39" s="18" t="s">
        <v>34</v>
      </c>
      <c r="E39" s="19">
        <v>0</v>
      </c>
      <c r="F39" s="19">
        <f>G39+H39+I39+J39+K39</f>
        <v>0</v>
      </c>
      <c r="G39" s="19">
        <v>0</v>
      </c>
      <c r="H39" s="19">
        <v>0</v>
      </c>
      <c r="I39" s="19">
        <v>0</v>
      </c>
      <c r="J39" s="31">
        <v>0</v>
      </c>
      <c r="K39" s="31">
        <v>0</v>
      </c>
      <c r="L39" s="180"/>
      <c r="M39" s="187"/>
    </row>
    <row r="40" spans="1:13" ht="38.25" customHeight="1">
      <c r="A40" s="138" t="s">
        <v>42</v>
      </c>
      <c r="B40" s="127" t="s">
        <v>43</v>
      </c>
      <c r="C40" s="18" t="s">
        <v>44</v>
      </c>
      <c r="D40" s="18" t="s">
        <v>7</v>
      </c>
      <c r="E40" s="19">
        <f>E44</f>
        <v>0</v>
      </c>
      <c r="F40" s="19">
        <f aca="true" t="shared" si="11" ref="F40:K40">F41+F42+F43</f>
        <v>22065</v>
      </c>
      <c r="G40" s="19">
        <f t="shared" si="11"/>
        <v>22065</v>
      </c>
      <c r="H40" s="19">
        <f t="shared" si="11"/>
        <v>0</v>
      </c>
      <c r="I40" s="19">
        <f t="shared" si="11"/>
        <v>0</v>
      </c>
      <c r="J40" s="19">
        <f t="shared" si="11"/>
        <v>0</v>
      </c>
      <c r="K40" s="19">
        <f t="shared" si="11"/>
        <v>0</v>
      </c>
      <c r="L40" s="127" t="s">
        <v>41</v>
      </c>
      <c r="M40" s="127" t="s">
        <v>107</v>
      </c>
    </row>
    <row r="41" spans="1:13" ht="33.75" customHeight="1">
      <c r="A41" s="105"/>
      <c r="B41" s="70"/>
      <c r="C41" s="18" t="s">
        <v>44</v>
      </c>
      <c r="D41" s="18" t="s">
        <v>9</v>
      </c>
      <c r="E41" s="19">
        <f>E45</f>
        <v>0</v>
      </c>
      <c r="F41" s="19">
        <f>G41+H41+I41+J41+K41</f>
        <v>0</v>
      </c>
      <c r="G41" s="19">
        <f>G45</f>
        <v>0</v>
      </c>
      <c r="H41" s="19">
        <f>H45</f>
        <v>0</v>
      </c>
      <c r="I41" s="19">
        <f>I45</f>
        <v>0</v>
      </c>
      <c r="J41" s="19">
        <f>J45</f>
        <v>0</v>
      </c>
      <c r="K41" s="19">
        <f>K45</f>
        <v>0</v>
      </c>
      <c r="L41" s="70"/>
      <c r="M41" s="86"/>
    </row>
    <row r="42" spans="1:13" ht="48.75" customHeight="1">
      <c r="A42" s="105"/>
      <c r="B42" s="70"/>
      <c r="C42" s="18" t="s">
        <v>44</v>
      </c>
      <c r="D42" s="18" t="s">
        <v>10</v>
      </c>
      <c r="E42" s="19">
        <f>E46</f>
        <v>0</v>
      </c>
      <c r="F42" s="19">
        <f>G42+H42+I42+J42+K42</f>
        <v>11032.5</v>
      </c>
      <c r="G42" s="19">
        <f aca="true" t="shared" si="12" ref="G42:K43">G46</f>
        <v>11032.5</v>
      </c>
      <c r="H42" s="19">
        <f t="shared" si="12"/>
        <v>0</v>
      </c>
      <c r="I42" s="19">
        <f t="shared" si="12"/>
        <v>0</v>
      </c>
      <c r="J42" s="19">
        <f t="shared" si="12"/>
        <v>0</v>
      </c>
      <c r="K42" s="19">
        <f t="shared" si="12"/>
        <v>0</v>
      </c>
      <c r="L42" s="70"/>
      <c r="M42" s="86"/>
    </row>
    <row r="43" spans="1:13" ht="62.25" customHeight="1">
      <c r="A43" s="106"/>
      <c r="B43" s="71"/>
      <c r="C43" s="18" t="s">
        <v>44</v>
      </c>
      <c r="D43" s="18" t="s">
        <v>11</v>
      </c>
      <c r="E43" s="19">
        <f>E47</f>
        <v>0</v>
      </c>
      <c r="F43" s="19">
        <f>G43+H43+I43+J43+K43</f>
        <v>11032.5</v>
      </c>
      <c r="G43" s="19">
        <f t="shared" si="12"/>
        <v>11032.5</v>
      </c>
      <c r="H43" s="19">
        <f t="shared" si="12"/>
        <v>0</v>
      </c>
      <c r="I43" s="19">
        <f t="shared" si="12"/>
        <v>0</v>
      </c>
      <c r="J43" s="19">
        <f t="shared" si="12"/>
        <v>0</v>
      </c>
      <c r="K43" s="19">
        <f t="shared" si="12"/>
        <v>0</v>
      </c>
      <c r="L43" s="71"/>
      <c r="M43" s="87"/>
    </row>
    <row r="44" spans="1:13" ht="30" customHeight="1">
      <c r="A44" s="138" t="s">
        <v>168</v>
      </c>
      <c r="B44" s="127" t="s">
        <v>169</v>
      </c>
      <c r="C44" s="18" t="s">
        <v>44</v>
      </c>
      <c r="D44" s="18" t="s">
        <v>7</v>
      </c>
      <c r="E44" s="19">
        <f>E45+E46+E47</f>
        <v>0</v>
      </c>
      <c r="F44" s="19">
        <f aca="true" t="shared" si="13" ref="F44:K44">F45+F46+F47</f>
        <v>22065</v>
      </c>
      <c r="G44" s="19">
        <f t="shared" si="13"/>
        <v>22065</v>
      </c>
      <c r="H44" s="19">
        <f t="shared" si="13"/>
        <v>0</v>
      </c>
      <c r="I44" s="19">
        <f t="shared" si="13"/>
        <v>0</v>
      </c>
      <c r="J44" s="19">
        <f t="shared" si="13"/>
        <v>0</v>
      </c>
      <c r="K44" s="19">
        <f t="shared" si="13"/>
        <v>0</v>
      </c>
      <c r="L44" s="127" t="s">
        <v>41</v>
      </c>
      <c r="M44" s="188"/>
    </row>
    <row r="45" spans="1:13" ht="38.25" customHeight="1">
      <c r="A45" s="105"/>
      <c r="B45" s="70"/>
      <c r="C45" s="18" t="s">
        <v>44</v>
      </c>
      <c r="D45" s="18" t="s">
        <v>9</v>
      </c>
      <c r="E45" s="19">
        <v>0</v>
      </c>
      <c r="F45" s="19">
        <f>G45+H45+I45+J45+K45</f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70"/>
      <c r="M45" s="70"/>
    </row>
    <row r="46" spans="1:13" ht="52.5" customHeight="1">
      <c r="A46" s="105"/>
      <c r="B46" s="70"/>
      <c r="C46" s="18" t="s">
        <v>44</v>
      </c>
      <c r="D46" s="18" t="s">
        <v>10</v>
      </c>
      <c r="E46" s="19">
        <v>0</v>
      </c>
      <c r="F46" s="19">
        <f>G46+H46+I46+J46+K46</f>
        <v>11032.5</v>
      </c>
      <c r="G46" s="19">
        <v>11032.5</v>
      </c>
      <c r="H46" s="19">
        <v>0</v>
      </c>
      <c r="I46" s="19">
        <v>0</v>
      </c>
      <c r="J46" s="19">
        <v>0</v>
      </c>
      <c r="K46" s="19">
        <v>0</v>
      </c>
      <c r="L46" s="70"/>
      <c r="M46" s="70"/>
    </row>
    <row r="47" spans="1:13" ht="72.75" customHeight="1">
      <c r="A47" s="106"/>
      <c r="B47" s="71"/>
      <c r="C47" s="18" t="s">
        <v>44</v>
      </c>
      <c r="D47" s="18" t="s">
        <v>11</v>
      </c>
      <c r="E47" s="19">
        <v>0</v>
      </c>
      <c r="F47" s="19">
        <f>G47+H47+I47+J47+K47</f>
        <v>11032.5</v>
      </c>
      <c r="G47" s="19">
        <v>11032.5</v>
      </c>
      <c r="H47" s="19">
        <v>0</v>
      </c>
      <c r="I47" s="19">
        <v>0</v>
      </c>
      <c r="J47" s="19">
        <v>0</v>
      </c>
      <c r="K47" s="19">
        <v>0</v>
      </c>
      <c r="L47" s="71"/>
      <c r="M47" s="71"/>
    </row>
    <row r="48" spans="1:13" ht="23.25" customHeight="1">
      <c r="A48" s="63" t="s">
        <v>110</v>
      </c>
      <c r="B48" s="109" t="s">
        <v>68</v>
      </c>
      <c r="C48" s="18" t="s">
        <v>44</v>
      </c>
      <c r="D48" s="18" t="s">
        <v>7</v>
      </c>
      <c r="E48" s="19">
        <f>E49+E50+E51+E52</f>
        <v>0</v>
      </c>
      <c r="F48" s="19">
        <f aca="true" t="shared" si="14" ref="F48:K48">F49+F50+F51+F52</f>
        <v>0</v>
      </c>
      <c r="G48" s="19">
        <f t="shared" si="14"/>
        <v>0</v>
      </c>
      <c r="H48" s="19">
        <f t="shared" si="14"/>
        <v>0</v>
      </c>
      <c r="I48" s="19">
        <f t="shared" si="14"/>
        <v>0</v>
      </c>
      <c r="J48" s="19">
        <f t="shared" si="14"/>
        <v>0</v>
      </c>
      <c r="K48" s="19">
        <f t="shared" si="14"/>
        <v>0</v>
      </c>
      <c r="L48" s="109" t="s">
        <v>86</v>
      </c>
      <c r="M48" s="66" t="s">
        <v>106</v>
      </c>
    </row>
    <row r="49" spans="1:13" ht="38.25" customHeight="1">
      <c r="A49" s="74"/>
      <c r="B49" s="76"/>
      <c r="C49" s="18" t="s">
        <v>44</v>
      </c>
      <c r="D49" s="18" t="s">
        <v>9</v>
      </c>
      <c r="E49" s="19">
        <f>E54+E59</f>
        <v>0</v>
      </c>
      <c r="F49" s="19">
        <f>G49+H49+I49+J49+K49</f>
        <v>0</v>
      </c>
      <c r="G49" s="19">
        <f>G54+G59</f>
        <v>0</v>
      </c>
      <c r="H49" s="19">
        <f>H54+H59</f>
        <v>0</v>
      </c>
      <c r="I49" s="19">
        <f>I54+I59</f>
        <v>0</v>
      </c>
      <c r="J49" s="19">
        <f>J54+J59</f>
        <v>0</v>
      </c>
      <c r="K49" s="19">
        <f>K54+K59</f>
        <v>0</v>
      </c>
      <c r="L49" s="76"/>
      <c r="M49" s="86"/>
    </row>
    <row r="50" spans="1:13" ht="51" customHeight="1">
      <c r="A50" s="74"/>
      <c r="B50" s="76"/>
      <c r="C50" s="18" t="s">
        <v>44</v>
      </c>
      <c r="D50" s="18" t="s">
        <v>10</v>
      </c>
      <c r="E50" s="19">
        <f>E55</f>
        <v>0</v>
      </c>
      <c r="F50" s="19">
        <f>G50+H50+I50+J50+K50</f>
        <v>0</v>
      </c>
      <c r="G50" s="19">
        <f aca="true" t="shared" si="15" ref="G50:K52">G55+G60</f>
        <v>0</v>
      </c>
      <c r="H50" s="19">
        <f t="shared" si="15"/>
        <v>0</v>
      </c>
      <c r="I50" s="19">
        <f t="shared" si="15"/>
        <v>0</v>
      </c>
      <c r="J50" s="19">
        <f t="shared" si="15"/>
        <v>0</v>
      </c>
      <c r="K50" s="19">
        <f t="shared" si="15"/>
        <v>0</v>
      </c>
      <c r="L50" s="76"/>
      <c r="M50" s="86"/>
    </row>
    <row r="51" spans="1:13" ht="66.75" customHeight="1">
      <c r="A51" s="74"/>
      <c r="B51" s="76"/>
      <c r="C51" s="18" t="s">
        <v>44</v>
      </c>
      <c r="D51" s="18" t="s">
        <v>11</v>
      </c>
      <c r="E51" s="19">
        <f>E56</f>
        <v>0</v>
      </c>
      <c r="F51" s="19">
        <f>G51+H51+I51+J51+K51</f>
        <v>0</v>
      </c>
      <c r="G51" s="19">
        <f t="shared" si="15"/>
        <v>0</v>
      </c>
      <c r="H51" s="19">
        <f t="shared" si="15"/>
        <v>0</v>
      </c>
      <c r="I51" s="19">
        <f t="shared" si="15"/>
        <v>0</v>
      </c>
      <c r="J51" s="19">
        <f t="shared" si="15"/>
        <v>0</v>
      </c>
      <c r="K51" s="19">
        <f t="shared" si="15"/>
        <v>0</v>
      </c>
      <c r="L51" s="76"/>
      <c r="M51" s="86"/>
    </row>
    <row r="52" spans="1:13" ht="40.5" customHeight="1">
      <c r="A52" s="75"/>
      <c r="B52" s="77"/>
      <c r="C52" s="18" t="s">
        <v>44</v>
      </c>
      <c r="D52" s="18" t="s">
        <v>34</v>
      </c>
      <c r="E52" s="19">
        <f>E57</f>
        <v>0</v>
      </c>
      <c r="F52" s="19">
        <f>G52+H52+I52+J52+K52</f>
        <v>0</v>
      </c>
      <c r="G52" s="19">
        <f t="shared" si="15"/>
        <v>0</v>
      </c>
      <c r="H52" s="19">
        <f t="shared" si="15"/>
        <v>0</v>
      </c>
      <c r="I52" s="19">
        <f t="shared" si="15"/>
        <v>0</v>
      </c>
      <c r="J52" s="19">
        <f t="shared" si="15"/>
        <v>0</v>
      </c>
      <c r="K52" s="19">
        <f t="shared" si="15"/>
        <v>0</v>
      </c>
      <c r="L52" s="77"/>
      <c r="M52" s="87"/>
    </row>
    <row r="53" spans="1:13" ht="26.25" customHeight="1" hidden="1">
      <c r="A53" s="108" t="s">
        <v>111</v>
      </c>
      <c r="B53" s="109" t="s">
        <v>122</v>
      </c>
      <c r="C53" s="18" t="s">
        <v>44</v>
      </c>
      <c r="D53" s="18" t="s">
        <v>7</v>
      </c>
      <c r="E53" s="19">
        <f>E54+E55+E56+E57</f>
        <v>0</v>
      </c>
      <c r="F53" s="19">
        <f aca="true" t="shared" si="16" ref="F53:K53">F54+F55+F56+F57</f>
        <v>0</v>
      </c>
      <c r="G53" s="19">
        <f t="shared" si="16"/>
        <v>0</v>
      </c>
      <c r="H53" s="19">
        <f t="shared" si="16"/>
        <v>0</v>
      </c>
      <c r="I53" s="19">
        <f t="shared" si="16"/>
        <v>0</v>
      </c>
      <c r="J53" s="19">
        <f t="shared" si="16"/>
        <v>0</v>
      </c>
      <c r="K53" s="19">
        <f t="shared" si="16"/>
        <v>0</v>
      </c>
      <c r="L53" s="69"/>
      <c r="M53" s="69"/>
    </row>
    <row r="54" spans="1:13" ht="37.5" customHeight="1" hidden="1">
      <c r="A54" s="74"/>
      <c r="B54" s="76"/>
      <c r="C54" s="18" t="s">
        <v>44</v>
      </c>
      <c r="D54" s="18" t="s">
        <v>9</v>
      </c>
      <c r="E54" s="19">
        <v>0</v>
      </c>
      <c r="F54" s="19">
        <f aca="true" t="shared" si="17" ref="F54:F67">G54+H54+I54+J54+K54</f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70"/>
      <c r="M54" s="70"/>
    </row>
    <row r="55" spans="1:13" ht="51" customHeight="1" hidden="1">
      <c r="A55" s="74"/>
      <c r="B55" s="76"/>
      <c r="C55" s="18" t="s">
        <v>44</v>
      </c>
      <c r="D55" s="18" t="s">
        <v>10</v>
      </c>
      <c r="E55" s="19">
        <v>0</v>
      </c>
      <c r="F55" s="19">
        <f t="shared" si="17"/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70"/>
      <c r="M55" s="70"/>
    </row>
    <row r="56" spans="1:13" ht="61.5" customHeight="1" hidden="1">
      <c r="A56" s="74"/>
      <c r="B56" s="76"/>
      <c r="C56" s="18" t="s">
        <v>44</v>
      </c>
      <c r="D56" s="18" t="s">
        <v>11</v>
      </c>
      <c r="E56" s="19">
        <v>0</v>
      </c>
      <c r="F56" s="19">
        <f t="shared" si="17"/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70"/>
      <c r="M56" s="70"/>
    </row>
    <row r="57" spans="1:13" ht="29.25" customHeight="1" hidden="1">
      <c r="A57" s="75"/>
      <c r="B57" s="77"/>
      <c r="C57" s="18" t="s">
        <v>44</v>
      </c>
      <c r="D57" s="18" t="s">
        <v>34</v>
      </c>
      <c r="E57" s="19">
        <v>0</v>
      </c>
      <c r="F57" s="19">
        <f t="shared" si="17"/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71"/>
      <c r="M57" s="71"/>
    </row>
    <row r="58" spans="1:13" ht="24.75" customHeight="1">
      <c r="A58" s="108" t="s">
        <v>112</v>
      </c>
      <c r="B58" s="109" t="s">
        <v>153</v>
      </c>
      <c r="C58" s="18" t="s">
        <v>44</v>
      </c>
      <c r="D58" s="18" t="s">
        <v>7</v>
      </c>
      <c r="E58" s="19">
        <f>E59+E60+E61+E62</f>
        <v>0</v>
      </c>
      <c r="F58" s="19">
        <f aca="true" t="shared" si="18" ref="F58:K58">F59+F60+F61+F62</f>
        <v>0</v>
      </c>
      <c r="G58" s="19">
        <f t="shared" si="18"/>
        <v>0</v>
      </c>
      <c r="H58" s="19">
        <f t="shared" si="18"/>
        <v>0</v>
      </c>
      <c r="I58" s="19">
        <f t="shared" si="18"/>
        <v>0</v>
      </c>
      <c r="J58" s="19">
        <f t="shared" si="18"/>
        <v>0</v>
      </c>
      <c r="K58" s="19">
        <f t="shared" si="18"/>
        <v>0</v>
      </c>
      <c r="L58" s="69"/>
      <c r="M58" s="69"/>
    </row>
    <row r="59" spans="1:13" ht="38.25" customHeight="1">
      <c r="A59" s="105"/>
      <c r="B59" s="70"/>
      <c r="C59" s="18" t="s">
        <v>44</v>
      </c>
      <c r="D59" s="18" t="s">
        <v>9</v>
      </c>
      <c r="E59" s="19">
        <v>0</v>
      </c>
      <c r="F59" s="19">
        <f>G59+H59+I59+J59+K59</f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70"/>
      <c r="M59" s="70"/>
    </row>
    <row r="60" spans="1:13" ht="48.75" customHeight="1">
      <c r="A60" s="105"/>
      <c r="B60" s="70"/>
      <c r="C60" s="18" t="s">
        <v>44</v>
      </c>
      <c r="D60" s="18" t="s">
        <v>10</v>
      </c>
      <c r="E60" s="19">
        <v>0</v>
      </c>
      <c r="F60" s="19">
        <f>G60+H60+I60+J60+K60</f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70"/>
      <c r="M60" s="70"/>
    </row>
    <row r="61" spans="1:13" ht="63" customHeight="1">
      <c r="A61" s="105"/>
      <c r="B61" s="70"/>
      <c r="C61" s="18" t="s">
        <v>44</v>
      </c>
      <c r="D61" s="18" t="s">
        <v>11</v>
      </c>
      <c r="E61" s="19">
        <v>0</v>
      </c>
      <c r="F61" s="19">
        <f>G61+H61+I61+J61+K61</f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70"/>
      <c r="M61" s="70"/>
    </row>
    <row r="62" spans="1:13" ht="29.25" customHeight="1">
      <c r="A62" s="106"/>
      <c r="B62" s="71"/>
      <c r="C62" s="18" t="s">
        <v>44</v>
      </c>
      <c r="D62" s="18" t="s">
        <v>34</v>
      </c>
      <c r="E62" s="19">
        <v>0</v>
      </c>
      <c r="F62" s="19">
        <f>G62+H62+I62+J62+K62</f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71"/>
      <c r="M62" s="71"/>
    </row>
    <row r="63" spans="1:13" ht="24" customHeight="1">
      <c r="A63" s="183"/>
      <c r="B63" s="184" t="s">
        <v>0</v>
      </c>
      <c r="C63" s="18" t="s">
        <v>44</v>
      </c>
      <c r="D63" s="18" t="s">
        <v>7</v>
      </c>
      <c r="E63" s="19">
        <f>E64+E65+E66+E67</f>
        <v>322171.5</v>
      </c>
      <c r="F63" s="19">
        <f t="shared" si="17"/>
        <v>782572.13</v>
      </c>
      <c r="G63" s="19">
        <f>G64+G65+G66+G67</f>
        <v>340935.2199999999</v>
      </c>
      <c r="H63" s="19">
        <f>H64+H65+H66+H67</f>
        <v>110725.21000000002</v>
      </c>
      <c r="I63" s="19">
        <f>I64+I65+I66+I67</f>
        <v>110303.90000000002</v>
      </c>
      <c r="J63" s="19">
        <f>J64+J65+J66+J67</f>
        <v>110303.90000000002</v>
      </c>
      <c r="K63" s="19">
        <f>K64+K65+K66+K67</f>
        <v>110303.90000000002</v>
      </c>
      <c r="L63" s="180"/>
      <c r="M63" s="72"/>
    </row>
    <row r="64" spans="1:13" ht="36">
      <c r="A64" s="183"/>
      <c r="B64" s="184"/>
      <c r="C64" s="18" t="s">
        <v>44</v>
      </c>
      <c r="D64" s="18" t="s">
        <v>9</v>
      </c>
      <c r="E64" s="19">
        <f>E6+E31+E41+E49</f>
        <v>0</v>
      </c>
      <c r="F64" s="19">
        <f t="shared" si="17"/>
        <v>0</v>
      </c>
      <c r="G64" s="19">
        <f aca="true" t="shared" si="19" ref="G64:K66">G6+G31+G41+G49+G21</f>
        <v>0</v>
      </c>
      <c r="H64" s="19">
        <f t="shared" si="19"/>
        <v>0</v>
      </c>
      <c r="I64" s="19">
        <f t="shared" si="19"/>
        <v>0</v>
      </c>
      <c r="J64" s="19">
        <f t="shared" si="19"/>
        <v>0</v>
      </c>
      <c r="K64" s="19">
        <f t="shared" si="19"/>
        <v>0</v>
      </c>
      <c r="L64" s="180"/>
      <c r="M64" s="72"/>
    </row>
    <row r="65" spans="1:13" ht="48">
      <c r="A65" s="183"/>
      <c r="B65" s="184"/>
      <c r="C65" s="18" t="s">
        <v>44</v>
      </c>
      <c r="D65" s="18" t="s">
        <v>10</v>
      </c>
      <c r="E65" s="19">
        <f>E7+E32+E42+E50</f>
        <v>0</v>
      </c>
      <c r="F65" s="19">
        <f t="shared" si="17"/>
        <v>11032.5</v>
      </c>
      <c r="G65" s="19">
        <f t="shared" si="19"/>
        <v>11032.5</v>
      </c>
      <c r="H65" s="19">
        <f t="shared" si="19"/>
        <v>0</v>
      </c>
      <c r="I65" s="19">
        <f t="shared" si="19"/>
        <v>0</v>
      </c>
      <c r="J65" s="19">
        <f t="shared" si="19"/>
        <v>0</v>
      </c>
      <c r="K65" s="19">
        <f t="shared" si="19"/>
        <v>0</v>
      </c>
      <c r="L65" s="180"/>
      <c r="M65" s="72"/>
    </row>
    <row r="66" spans="1:13" ht="60">
      <c r="A66" s="183"/>
      <c r="B66" s="184"/>
      <c r="C66" s="18" t="s">
        <v>44</v>
      </c>
      <c r="D66" s="18" t="s">
        <v>11</v>
      </c>
      <c r="E66" s="19">
        <f>E8+E33+E43+E51</f>
        <v>321968.5</v>
      </c>
      <c r="F66" s="19">
        <f t="shared" si="17"/>
        <v>771031.63</v>
      </c>
      <c r="G66" s="19">
        <f t="shared" si="19"/>
        <v>329794.7199999999</v>
      </c>
      <c r="H66" s="19">
        <f t="shared" si="19"/>
        <v>110625.21000000002</v>
      </c>
      <c r="I66" s="19">
        <f t="shared" si="19"/>
        <v>110203.90000000002</v>
      </c>
      <c r="J66" s="19">
        <f t="shared" si="19"/>
        <v>110203.90000000002</v>
      </c>
      <c r="K66" s="19">
        <f t="shared" si="19"/>
        <v>110203.90000000002</v>
      </c>
      <c r="L66" s="180"/>
      <c r="M66" s="72"/>
    </row>
    <row r="67" spans="1:13" ht="24">
      <c r="A67" s="183"/>
      <c r="B67" s="184"/>
      <c r="C67" s="18" t="s">
        <v>44</v>
      </c>
      <c r="D67" s="18" t="s">
        <v>34</v>
      </c>
      <c r="E67" s="19">
        <f>E9+E34+E44+E52</f>
        <v>203</v>
      </c>
      <c r="F67" s="19">
        <f t="shared" si="17"/>
        <v>508</v>
      </c>
      <c r="G67" s="19">
        <f>G9+G34+G52+G24</f>
        <v>108</v>
      </c>
      <c r="H67" s="19">
        <f>H9+H34+H52+H24</f>
        <v>100</v>
      </c>
      <c r="I67" s="19">
        <f>I9+I34+I52+I24</f>
        <v>100</v>
      </c>
      <c r="J67" s="19">
        <f>J9+J34+J52+J24</f>
        <v>100</v>
      </c>
      <c r="K67" s="19">
        <f>K9+K34+K52+K24</f>
        <v>100</v>
      </c>
      <c r="L67" s="180"/>
      <c r="M67" s="72"/>
    </row>
    <row r="68" spans="1:12" ht="15">
      <c r="A68" s="28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</sheetData>
  <sheetProtection/>
  <mergeCells count="63">
    <mergeCell ref="M58:M62"/>
    <mergeCell ref="L58:L62"/>
    <mergeCell ref="A58:A62"/>
    <mergeCell ref="B58:B62"/>
    <mergeCell ref="M44:M47"/>
    <mergeCell ref="A53:A57"/>
    <mergeCell ref="A44:A47"/>
    <mergeCell ref="M53:M57"/>
    <mergeCell ref="L53:L57"/>
    <mergeCell ref="B53:B57"/>
    <mergeCell ref="E1:E2"/>
    <mergeCell ref="F1:F2"/>
    <mergeCell ref="D1:D2"/>
    <mergeCell ref="A1:A2"/>
    <mergeCell ref="M30:M34"/>
    <mergeCell ref="M35:M39"/>
    <mergeCell ref="G1:K1"/>
    <mergeCell ref="M5:M9"/>
    <mergeCell ref="M10:M14"/>
    <mergeCell ref="L5:L9"/>
    <mergeCell ref="A63:A67"/>
    <mergeCell ref="B63:B67"/>
    <mergeCell ref="M63:M67"/>
    <mergeCell ref="L63:L67"/>
    <mergeCell ref="A5:A9"/>
    <mergeCell ref="C1:C2"/>
    <mergeCell ref="L1:L2"/>
    <mergeCell ref="A4:M4"/>
    <mergeCell ref="M1:M2"/>
    <mergeCell ref="B1:B2"/>
    <mergeCell ref="Q8:Q9"/>
    <mergeCell ref="L44:L47"/>
    <mergeCell ref="B5:B9"/>
    <mergeCell ref="L30:L34"/>
    <mergeCell ref="L35:L39"/>
    <mergeCell ref="B40:B43"/>
    <mergeCell ref="L40:L43"/>
    <mergeCell ref="B36:B39"/>
    <mergeCell ref="B10:B14"/>
    <mergeCell ref="A10:A14"/>
    <mergeCell ref="L10:L14"/>
    <mergeCell ref="A15:A19"/>
    <mergeCell ref="B15:B19"/>
    <mergeCell ref="M15:M19"/>
    <mergeCell ref="L15:L19"/>
    <mergeCell ref="A48:A52"/>
    <mergeCell ref="B48:B52"/>
    <mergeCell ref="L48:L52"/>
    <mergeCell ref="M48:M52"/>
    <mergeCell ref="B44:B47"/>
    <mergeCell ref="B30:B34"/>
    <mergeCell ref="A30:A34"/>
    <mergeCell ref="A35:A39"/>
    <mergeCell ref="A40:A43"/>
    <mergeCell ref="M40:M43"/>
    <mergeCell ref="A20:A24"/>
    <mergeCell ref="B20:B24"/>
    <mergeCell ref="L20:L24"/>
    <mergeCell ref="M20:M24"/>
    <mergeCell ref="L25:L29"/>
    <mergeCell ref="M25:M29"/>
    <mergeCell ref="A25:A29"/>
    <mergeCell ref="B25:B29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7">
      <selection activeCell="E11" sqref="E11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183" t="s">
        <v>2</v>
      </c>
      <c r="B1" s="183" t="s">
        <v>36</v>
      </c>
      <c r="C1" s="183" t="s">
        <v>39</v>
      </c>
      <c r="D1" s="183" t="s">
        <v>3</v>
      </c>
      <c r="E1" s="98" t="s">
        <v>38</v>
      </c>
      <c r="F1" s="183" t="s">
        <v>4</v>
      </c>
      <c r="G1" s="183" t="s">
        <v>5</v>
      </c>
      <c r="H1" s="183"/>
      <c r="I1" s="183"/>
      <c r="J1" s="183"/>
      <c r="K1" s="183"/>
      <c r="L1" s="183" t="s">
        <v>6</v>
      </c>
      <c r="M1" s="183" t="s">
        <v>13</v>
      </c>
    </row>
    <row r="2" spans="1:13" ht="84" customHeight="1">
      <c r="A2" s="183"/>
      <c r="B2" s="183"/>
      <c r="C2" s="183"/>
      <c r="D2" s="183"/>
      <c r="E2" s="98"/>
      <c r="F2" s="183"/>
      <c r="G2" s="1" t="s">
        <v>82</v>
      </c>
      <c r="H2" s="1" t="s">
        <v>83</v>
      </c>
      <c r="I2" s="7" t="s">
        <v>79</v>
      </c>
      <c r="J2" s="1" t="s">
        <v>84</v>
      </c>
      <c r="K2" s="1" t="s">
        <v>85</v>
      </c>
      <c r="L2" s="183"/>
      <c r="M2" s="183"/>
    </row>
    <row r="3" spans="1:13" ht="1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</row>
    <row r="4" spans="1:13" ht="18" customHeight="1">
      <c r="A4" s="189" t="s">
        <v>63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s="12" customFormat="1" ht="18.75" customHeight="1">
      <c r="A5" s="195" t="s">
        <v>29</v>
      </c>
      <c r="B5" s="190" t="s">
        <v>64</v>
      </c>
      <c r="C5" s="18" t="s">
        <v>44</v>
      </c>
      <c r="D5" s="18" t="s">
        <v>7</v>
      </c>
      <c r="E5" s="35">
        <f aca="true" t="shared" si="0" ref="E5:K5">E6+E7+E8+E9</f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180" t="s">
        <v>8</v>
      </c>
      <c r="M5" s="190" t="s">
        <v>70</v>
      </c>
    </row>
    <row r="6" spans="1:13" s="12" customFormat="1" ht="36">
      <c r="A6" s="196"/>
      <c r="B6" s="191"/>
      <c r="C6" s="18" t="s">
        <v>44</v>
      </c>
      <c r="D6" s="18" t="s">
        <v>9</v>
      </c>
      <c r="E6" s="35">
        <v>0</v>
      </c>
      <c r="F6" s="19">
        <f aca="true" t="shared" si="1" ref="F6:F14">G6+H6+I6+J6+K6</f>
        <v>0</v>
      </c>
      <c r="G6" s="35">
        <f>G11</f>
        <v>0</v>
      </c>
      <c r="H6" s="35">
        <f>H11</f>
        <v>0</v>
      </c>
      <c r="I6" s="35">
        <f>I11</f>
        <v>0</v>
      </c>
      <c r="J6" s="35">
        <f>J11</f>
        <v>0</v>
      </c>
      <c r="K6" s="35">
        <f>K11</f>
        <v>0</v>
      </c>
      <c r="L6" s="180"/>
      <c r="M6" s="191"/>
    </row>
    <row r="7" spans="1:13" s="12" customFormat="1" ht="48">
      <c r="A7" s="196"/>
      <c r="B7" s="191"/>
      <c r="C7" s="18" t="s">
        <v>44</v>
      </c>
      <c r="D7" s="18" t="s">
        <v>10</v>
      </c>
      <c r="E7" s="35">
        <f aca="true" t="shared" si="2" ref="E7:K7">E12</f>
        <v>0</v>
      </c>
      <c r="F7" s="19">
        <f t="shared" si="1"/>
        <v>0</v>
      </c>
      <c r="G7" s="35">
        <f t="shared" si="2"/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180"/>
      <c r="M7" s="191"/>
    </row>
    <row r="8" spans="1:13" s="12" customFormat="1" ht="60">
      <c r="A8" s="196"/>
      <c r="B8" s="191"/>
      <c r="C8" s="18" t="s">
        <v>44</v>
      </c>
      <c r="D8" s="18" t="s">
        <v>11</v>
      </c>
      <c r="E8" s="35">
        <f aca="true" t="shared" si="3" ref="E8:K8">E13</f>
        <v>0</v>
      </c>
      <c r="F8" s="19">
        <f t="shared" si="1"/>
        <v>0</v>
      </c>
      <c r="G8" s="35">
        <f t="shared" si="3"/>
        <v>0</v>
      </c>
      <c r="H8" s="35">
        <f t="shared" si="3"/>
        <v>0</v>
      </c>
      <c r="I8" s="35">
        <f t="shared" si="3"/>
        <v>0</v>
      </c>
      <c r="J8" s="35">
        <f t="shared" si="3"/>
        <v>0</v>
      </c>
      <c r="K8" s="35">
        <f t="shared" si="3"/>
        <v>0</v>
      </c>
      <c r="L8" s="180"/>
      <c r="M8" s="191"/>
    </row>
    <row r="9" spans="1:13" ht="24">
      <c r="A9" s="197"/>
      <c r="B9" s="192"/>
      <c r="C9" s="18" t="s">
        <v>44</v>
      </c>
      <c r="D9" s="18" t="s">
        <v>34</v>
      </c>
      <c r="E9" s="35">
        <f aca="true" t="shared" si="4" ref="E9:K9">E14</f>
        <v>0</v>
      </c>
      <c r="F9" s="19">
        <f t="shared" si="1"/>
        <v>0</v>
      </c>
      <c r="G9" s="35">
        <f t="shared" si="4"/>
        <v>0</v>
      </c>
      <c r="H9" s="35">
        <f t="shared" si="4"/>
        <v>0</v>
      </c>
      <c r="I9" s="35">
        <f t="shared" si="4"/>
        <v>0</v>
      </c>
      <c r="J9" s="35">
        <f t="shared" si="4"/>
        <v>0</v>
      </c>
      <c r="K9" s="35">
        <f t="shared" si="4"/>
        <v>0</v>
      </c>
      <c r="L9" s="180"/>
      <c r="M9" s="192"/>
    </row>
    <row r="10" spans="1:13" ht="18" customHeight="1">
      <c r="A10" s="181" t="s">
        <v>55</v>
      </c>
      <c r="B10" s="20" t="s">
        <v>154</v>
      </c>
      <c r="C10" s="18" t="s">
        <v>44</v>
      </c>
      <c r="D10" s="18" t="s">
        <v>7</v>
      </c>
      <c r="E10" s="19">
        <f aca="true" t="shared" si="5" ref="E10:K10">E11+E12+E13+E14</f>
        <v>0</v>
      </c>
      <c r="F10" s="19">
        <f t="shared" si="5"/>
        <v>0</v>
      </c>
      <c r="G10" s="19">
        <f t="shared" si="5"/>
        <v>0</v>
      </c>
      <c r="H10" s="19">
        <f t="shared" si="5"/>
        <v>0</v>
      </c>
      <c r="I10" s="19">
        <f t="shared" si="5"/>
        <v>0</v>
      </c>
      <c r="J10" s="19">
        <f t="shared" si="5"/>
        <v>0</v>
      </c>
      <c r="K10" s="19">
        <f t="shared" si="5"/>
        <v>0</v>
      </c>
      <c r="L10" s="180" t="s">
        <v>8</v>
      </c>
      <c r="M10" s="127"/>
    </row>
    <row r="11" spans="1:13" ht="39.75" customHeight="1">
      <c r="A11" s="181"/>
      <c r="B11" s="193" t="s">
        <v>65</v>
      </c>
      <c r="C11" s="18" t="s">
        <v>44</v>
      </c>
      <c r="D11" s="18" t="s">
        <v>9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0"/>
      <c r="M11" s="128"/>
    </row>
    <row r="12" spans="1:13" ht="50.25" customHeight="1">
      <c r="A12" s="181"/>
      <c r="B12" s="193"/>
      <c r="C12" s="18" t="s">
        <v>44</v>
      </c>
      <c r="D12" s="18" t="s">
        <v>10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0"/>
      <c r="M12" s="128"/>
    </row>
    <row r="13" spans="1:13" ht="62.25" customHeight="1">
      <c r="A13" s="181"/>
      <c r="B13" s="193"/>
      <c r="C13" s="18" t="s">
        <v>44</v>
      </c>
      <c r="D13" s="18" t="s">
        <v>11</v>
      </c>
      <c r="E13" s="19">
        <v>0</v>
      </c>
      <c r="F13" s="19">
        <f t="shared" si="1"/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80"/>
      <c r="M13" s="128"/>
    </row>
    <row r="14" spans="1:13" ht="25.5" customHeight="1">
      <c r="A14" s="181"/>
      <c r="B14" s="194"/>
      <c r="C14" s="18" t="s">
        <v>44</v>
      </c>
      <c r="D14" s="18" t="s">
        <v>34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0"/>
      <c r="M14" s="129"/>
    </row>
    <row r="15" spans="1:13" ht="21.75" customHeight="1">
      <c r="A15" s="183"/>
      <c r="B15" s="184" t="s">
        <v>66</v>
      </c>
      <c r="C15" s="18" t="s">
        <v>44</v>
      </c>
      <c r="D15" s="18" t="s">
        <v>7</v>
      </c>
      <c r="E15" s="19">
        <f>E16+E17+E18+E19</f>
        <v>0</v>
      </c>
      <c r="F15" s="19">
        <f>G15+H15+I15+J15+K15</f>
        <v>0</v>
      </c>
      <c r="G15" s="19">
        <f>G16+G17+G18+G19</f>
        <v>0</v>
      </c>
      <c r="H15" s="19">
        <f>H16+H17+H18+H19</f>
        <v>0</v>
      </c>
      <c r="I15" s="19">
        <f>I16+I17+I18+I19</f>
        <v>0</v>
      </c>
      <c r="J15" s="19">
        <f>J16+J17+J18+J19</f>
        <v>0</v>
      </c>
      <c r="K15" s="19">
        <f>K16+K17+K18+K19</f>
        <v>0</v>
      </c>
      <c r="L15" s="180"/>
      <c r="M15" s="180"/>
    </row>
    <row r="16" spans="1:13" ht="40.5" customHeight="1">
      <c r="A16" s="183"/>
      <c r="B16" s="184"/>
      <c r="C16" s="18" t="s">
        <v>44</v>
      </c>
      <c r="D16" s="18" t="s">
        <v>9</v>
      </c>
      <c r="E16" s="19">
        <f>E6</f>
        <v>0</v>
      </c>
      <c r="F16" s="19">
        <f>G16+H16+I16+J16+K16</f>
        <v>0</v>
      </c>
      <c r="G16" s="19">
        <f>G6</f>
        <v>0</v>
      </c>
      <c r="H16" s="19">
        <f>H6</f>
        <v>0</v>
      </c>
      <c r="I16" s="19">
        <f>I6</f>
        <v>0</v>
      </c>
      <c r="J16" s="19">
        <f>J6</f>
        <v>0</v>
      </c>
      <c r="K16" s="19">
        <f>K6</f>
        <v>0</v>
      </c>
      <c r="L16" s="180"/>
      <c r="M16" s="180"/>
    </row>
    <row r="17" spans="1:13" ht="39.75" customHeight="1">
      <c r="A17" s="183"/>
      <c r="B17" s="184"/>
      <c r="C17" s="18" t="s">
        <v>44</v>
      </c>
      <c r="D17" s="18" t="s">
        <v>10</v>
      </c>
      <c r="E17" s="19">
        <f>E7</f>
        <v>0</v>
      </c>
      <c r="F17" s="19">
        <f>G17+H17+I17+J17+K17</f>
        <v>0</v>
      </c>
      <c r="G17" s="19">
        <f aca="true" t="shared" si="6" ref="G17:K19">G7</f>
        <v>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80"/>
      <c r="M17" s="180"/>
    </row>
    <row r="18" spans="1:13" ht="63" customHeight="1">
      <c r="A18" s="183"/>
      <c r="B18" s="184"/>
      <c r="C18" s="18" t="s">
        <v>44</v>
      </c>
      <c r="D18" s="18" t="s">
        <v>11</v>
      </c>
      <c r="E18" s="19">
        <f>E8</f>
        <v>0</v>
      </c>
      <c r="F18" s="19">
        <f>G18+H18+I18+J18+K18</f>
        <v>0</v>
      </c>
      <c r="G18" s="19">
        <f t="shared" si="6"/>
        <v>0</v>
      </c>
      <c r="H18" s="19">
        <f t="shared" si="6"/>
        <v>0</v>
      </c>
      <c r="I18" s="19">
        <f t="shared" si="6"/>
        <v>0</v>
      </c>
      <c r="J18" s="19">
        <f t="shared" si="6"/>
        <v>0</v>
      </c>
      <c r="K18" s="19">
        <f t="shared" si="6"/>
        <v>0</v>
      </c>
      <c r="L18" s="180"/>
      <c r="M18" s="180"/>
    </row>
    <row r="19" spans="1:13" ht="27" customHeight="1">
      <c r="A19" s="183"/>
      <c r="B19" s="184"/>
      <c r="C19" s="18" t="s">
        <v>44</v>
      </c>
      <c r="D19" s="18" t="s">
        <v>34</v>
      </c>
      <c r="E19" s="19">
        <f>E9</f>
        <v>0</v>
      </c>
      <c r="F19" s="19">
        <f>G19+H19+I19+J19+K19</f>
        <v>0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80"/>
      <c r="M19" s="180"/>
    </row>
    <row r="20" spans="1:13" ht="15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43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5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6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24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36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</sheetData>
  <sheetProtection/>
  <mergeCells count="22">
    <mergeCell ref="M1:M2"/>
    <mergeCell ref="L1:L2"/>
    <mergeCell ref="A5:A9"/>
    <mergeCell ref="B5:B9"/>
    <mergeCell ref="B1:B2"/>
    <mergeCell ref="A1:A2"/>
    <mergeCell ref="L10:L14"/>
    <mergeCell ref="E1:E2"/>
    <mergeCell ref="F1:F2"/>
    <mergeCell ref="B15:B19"/>
    <mergeCell ref="A15:A19"/>
    <mergeCell ref="D1:D2"/>
    <mergeCell ref="M15:M19"/>
    <mergeCell ref="A4:M4"/>
    <mergeCell ref="M5:M9"/>
    <mergeCell ref="M10:M14"/>
    <mergeCell ref="A10:A14"/>
    <mergeCell ref="G1:K1"/>
    <mergeCell ref="L5:L9"/>
    <mergeCell ref="L15:L19"/>
    <mergeCell ref="B11:B14"/>
    <mergeCell ref="C1:C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SheetLayoutView="100" zoomScalePageLayoutView="0" workbookViewId="0" topLeftCell="A1">
      <selection activeCell="H21" sqref="H21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183" t="s">
        <v>2</v>
      </c>
      <c r="B1" s="183" t="s">
        <v>36</v>
      </c>
      <c r="C1" s="183" t="s">
        <v>39</v>
      </c>
      <c r="D1" s="183" t="s">
        <v>3</v>
      </c>
      <c r="E1" s="98" t="s">
        <v>38</v>
      </c>
      <c r="F1" s="183" t="s">
        <v>4</v>
      </c>
      <c r="G1" s="183" t="s">
        <v>5</v>
      </c>
      <c r="H1" s="183"/>
      <c r="I1" s="183"/>
      <c r="J1" s="183"/>
      <c r="K1" s="183"/>
      <c r="L1" s="183" t="s">
        <v>6</v>
      </c>
      <c r="M1" s="183" t="s">
        <v>13</v>
      </c>
    </row>
    <row r="2" spans="1:13" ht="84" customHeight="1">
      <c r="A2" s="183"/>
      <c r="B2" s="183"/>
      <c r="C2" s="183"/>
      <c r="D2" s="183"/>
      <c r="E2" s="98"/>
      <c r="F2" s="183"/>
      <c r="G2" s="1" t="s">
        <v>82</v>
      </c>
      <c r="H2" s="1" t="s">
        <v>83</v>
      </c>
      <c r="I2" s="7" t="s">
        <v>79</v>
      </c>
      <c r="J2" s="1" t="s">
        <v>84</v>
      </c>
      <c r="K2" s="1" t="s">
        <v>85</v>
      </c>
      <c r="L2" s="183"/>
      <c r="M2" s="183"/>
    </row>
    <row r="3" spans="1:13" ht="1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</row>
    <row r="4" spans="1:13" ht="18" customHeight="1">
      <c r="A4" s="189" t="s">
        <v>53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s="12" customFormat="1" ht="18.75" customHeight="1">
      <c r="A5" s="195" t="s">
        <v>24</v>
      </c>
      <c r="B5" s="190" t="s">
        <v>115</v>
      </c>
      <c r="C5" s="18" t="s">
        <v>44</v>
      </c>
      <c r="D5" s="18" t="s">
        <v>7</v>
      </c>
      <c r="E5" s="35">
        <f aca="true" t="shared" si="0" ref="E5:K5">E6+E7+E8+E9</f>
        <v>68399.2</v>
      </c>
      <c r="F5" s="35">
        <f t="shared" si="0"/>
        <v>309309.17</v>
      </c>
      <c r="G5" s="35">
        <f t="shared" si="0"/>
        <v>60485.35</v>
      </c>
      <c r="H5" s="35">
        <f t="shared" si="0"/>
        <v>61629.82</v>
      </c>
      <c r="I5" s="35">
        <f t="shared" si="0"/>
        <v>62398</v>
      </c>
      <c r="J5" s="35">
        <f t="shared" si="0"/>
        <v>62398</v>
      </c>
      <c r="K5" s="35">
        <f t="shared" si="0"/>
        <v>62398</v>
      </c>
      <c r="L5" s="180" t="s">
        <v>8</v>
      </c>
      <c r="M5" s="190" t="s">
        <v>71</v>
      </c>
    </row>
    <row r="6" spans="1:13" s="12" customFormat="1" ht="36">
      <c r="A6" s="196"/>
      <c r="B6" s="191"/>
      <c r="C6" s="18" t="s">
        <v>44</v>
      </c>
      <c r="D6" s="18" t="s">
        <v>9</v>
      </c>
      <c r="E6" s="35">
        <f>E11+E16</f>
        <v>0</v>
      </c>
      <c r="F6" s="19">
        <f aca="true" t="shared" si="1" ref="F6:F19">G6+H6+I6+J6+K6</f>
        <v>0</v>
      </c>
      <c r="G6" s="35">
        <f>G11+G16</f>
        <v>0</v>
      </c>
      <c r="H6" s="35">
        <f>H11+H16</f>
        <v>0</v>
      </c>
      <c r="I6" s="35">
        <f>I11+I16</f>
        <v>0</v>
      </c>
      <c r="J6" s="35">
        <f>J11+J16</f>
        <v>0</v>
      </c>
      <c r="K6" s="35">
        <f>K11+K16</f>
        <v>0</v>
      </c>
      <c r="L6" s="180"/>
      <c r="M6" s="191"/>
    </row>
    <row r="7" spans="1:13" s="12" customFormat="1" ht="48">
      <c r="A7" s="196"/>
      <c r="B7" s="191"/>
      <c r="C7" s="18" t="s">
        <v>44</v>
      </c>
      <c r="D7" s="18" t="s">
        <v>10</v>
      </c>
      <c r="E7" s="35">
        <f>E12+E17</f>
        <v>0</v>
      </c>
      <c r="F7" s="19">
        <f t="shared" si="1"/>
        <v>0</v>
      </c>
      <c r="G7" s="35">
        <f aca="true" t="shared" si="2" ref="G7:K9">G12+G17</f>
        <v>0</v>
      </c>
      <c r="H7" s="35">
        <f t="shared" si="2"/>
        <v>0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180"/>
      <c r="M7" s="191"/>
    </row>
    <row r="8" spans="1:13" s="12" customFormat="1" ht="60">
      <c r="A8" s="196"/>
      <c r="B8" s="191"/>
      <c r="C8" s="18" t="s">
        <v>44</v>
      </c>
      <c r="D8" s="18" t="s">
        <v>11</v>
      </c>
      <c r="E8" s="35">
        <f>E13+E18+E21</f>
        <v>68399.2</v>
      </c>
      <c r="F8" s="19">
        <f t="shared" si="1"/>
        <v>309309.17</v>
      </c>
      <c r="G8" s="35">
        <f>G13+G18+G21</f>
        <v>60485.35</v>
      </c>
      <c r="H8" s="35">
        <f>H13+H18+H21</f>
        <v>61629.82</v>
      </c>
      <c r="I8" s="35">
        <f>I13+I18+I21</f>
        <v>62398</v>
      </c>
      <c r="J8" s="35">
        <f>J13+J18+J21</f>
        <v>62398</v>
      </c>
      <c r="K8" s="35">
        <f>K13+K18+K21</f>
        <v>62398</v>
      </c>
      <c r="L8" s="180"/>
      <c r="M8" s="191"/>
    </row>
    <row r="9" spans="1:13" ht="24">
      <c r="A9" s="197"/>
      <c r="B9" s="192"/>
      <c r="C9" s="18" t="s">
        <v>44</v>
      </c>
      <c r="D9" s="18" t="s">
        <v>34</v>
      </c>
      <c r="E9" s="35">
        <f>E14+E19</f>
        <v>0</v>
      </c>
      <c r="F9" s="19">
        <f t="shared" si="1"/>
        <v>0</v>
      </c>
      <c r="G9" s="35">
        <f t="shared" si="2"/>
        <v>0</v>
      </c>
      <c r="H9" s="35">
        <f t="shared" si="2"/>
        <v>0</v>
      </c>
      <c r="I9" s="35">
        <f t="shared" si="2"/>
        <v>0</v>
      </c>
      <c r="J9" s="35">
        <f t="shared" si="2"/>
        <v>0</v>
      </c>
      <c r="K9" s="35">
        <f t="shared" si="2"/>
        <v>0</v>
      </c>
      <c r="L9" s="180"/>
      <c r="M9" s="192"/>
    </row>
    <row r="10" spans="1:13" ht="18" customHeight="1">
      <c r="A10" s="181" t="s">
        <v>19</v>
      </c>
      <c r="B10" s="155" t="s">
        <v>155</v>
      </c>
      <c r="C10" s="18" t="s">
        <v>44</v>
      </c>
      <c r="D10" s="18" t="s">
        <v>7</v>
      </c>
      <c r="E10" s="19">
        <f aca="true" t="shared" si="3" ref="E10:K10">E11+E12+E13+E14</f>
        <v>31343</v>
      </c>
      <c r="F10" s="19">
        <f t="shared" si="3"/>
        <v>204786.5</v>
      </c>
      <c r="G10" s="19">
        <f t="shared" si="3"/>
        <v>41418.5</v>
      </c>
      <c r="H10" s="19">
        <f t="shared" si="3"/>
        <v>40842</v>
      </c>
      <c r="I10" s="19">
        <f t="shared" si="3"/>
        <v>40842</v>
      </c>
      <c r="J10" s="19">
        <f t="shared" si="3"/>
        <v>40842</v>
      </c>
      <c r="K10" s="19">
        <f t="shared" si="3"/>
        <v>40842</v>
      </c>
      <c r="L10" s="180" t="s">
        <v>8</v>
      </c>
      <c r="M10" s="127"/>
    </row>
    <row r="11" spans="1:13" ht="39.75" customHeight="1">
      <c r="A11" s="181"/>
      <c r="B11" s="122"/>
      <c r="C11" s="18" t="s">
        <v>44</v>
      </c>
      <c r="D11" s="18" t="s">
        <v>9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80"/>
      <c r="M11" s="128"/>
    </row>
    <row r="12" spans="1:13" ht="50.25" customHeight="1">
      <c r="A12" s="181"/>
      <c r="B12" s="122"/>
      <c r="C12" s="18" t="s">
        <v>44</v>
      </c>
      <c r="D12" s="18" t="s">
        <v>10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80"/>
      <c r="M12" s="128"/>
    </row>
    <row r="13" spans="1:13" ht="62.25" customHeight="1">
      <c r="A13" s="181"/>
      <c r="B13" s="122"/>
      <c r="C13" s="18" t="s">
        <v>44</v>
      </c>
      <c r="D13" s="18" t="s">
        <v>11</v>
      </c>
      <c r="E13" s="19">
        <v>31343</v>
      </c>
      <c r="F13" s="19">
        <f t="shared" si="1"/>
        <v>204786.5</v>
      </c>
      <c r="G13" s="19">
        <f>41711+133.5-426</f>
        <v>41418.5</v>
      </c>
      <c r="H13" s="19">
        <v>40842</v>
      </c>
      <c r="I13" s="19">
        <v>40842</v>
      </c>
      <c r="J13" s="19">
        <v>40842</v>
      </c>
      <c r="K13" s="19">
        <v>40842</v>
      </c>
      <c r="L13" s="180"/>
      <c r="M13" s="128"/>
    </row>
    <row r="14" spans="1:13" ht="25.5" customHeight="1">
      <c r="A14" s="181"/>
      <c r="B14" s="123"/>
      <c r="C14" s="18" t="s">
        <v>44</v>
      </c>
      <c r="D14" s="18" t="s">
        <v>34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0"/>
      <c r="M14" s="129"/>
    </row>
    <row r="15" spans="1:13" ht="24" customHeight="1">
      <c r="A15" s="181" t="s">
        <v>25</v>
      </c>
      <c r="B15" s="155" t="s">
        <v>156</v>
      </c>
      <c r="C15" s="18" t="s">
        <v>44</v>
      </c>
      <c r="D15" s="33" t="s">
        <v>7</v>
      </c>
      <c r="E15" s="19">
        <f aca="true" t="shared" si="4" ref="E15:K15">E16+E17+E18+E19</f>
        <v>25405</v>
      </c>
      <c r="F15" s="19">
        <f t="shared" si="4"/>
        <v>76865.5</v>
      </c>
      <c r="G15" s="19">
        <f t="shared" si="4"/>
        <v>15481.5</v>
      </c>
      <c r="H15" s="19">
        <f t="shared" si="4"/>
        <v>15346</v>
      </c>
      <c r="I15" s="19">
        <f t="shared" si="4"/>
        <v>15346</v>
      </c>
      <c r="J15" s="19">
        <f t="shared" si="4"/>
        <v>15346</v>
      </c>
      <c r="K15" s="19">
        <f t="shared" si="4"/>
        <v>15346</v>
      </c>
      <c r="L15" s="180" t="s">
        <v>62</v>
      </c>
      <c r="M15" s="180"/>
    </row>
    <row r="16" spans="1:13" ht="39.75" customHeight="1">
      <c r="A16" s="181"/>
      <c r="B16" s="122"/>
      <c r="C16" s="18" t="s">
        <v>44</v>
      </c>
      <c r="D16" s="18" t="s">
        <v>9</v>
      </c>
      <c r="E16" s="19">
        <v>0</v>
      </c>
      <c r="F16" s="19">
        <f t="shared" si="1"/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80"/>
      <c r="M16" s="180"/>
    </row>
    <row r="17" spans="1:13" ht="48">
      <c r="A17" s="181"/>
      <c r="B17" s="122"/>
      <c r="C17" s="18" t="s">
        <v>44</v>
      </c>
      <c r="D17" s="18" t="s">
        <v>10</v>
      </c>
      <c r="E17" s="19">
        <v>0</v>
      </c>
      <c r="F17" s="19">
        <f t="shared" si="1"/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80"/>
      <c r="M17" s="180"/>
    </row>
    <row r="18" spans="1:13" ht="63" customHeight="1">
      <c r="A18" s="181"/>
      <c r="B18" s="122"/>
      <c r="C18" s="18" t="s">
        <v>44</v>
      </c>
      <c r="D18" s="18" t="s">
        <v>11</v>
      </c>
      <c r="E18" s="19">
        <v>25405</v>
      </c>
      <c r="F18" s="19">
        <f t="shared" si="1"/>
        <v>76865.5</v>
      </c>
      <c r="G18" s="19">
        <f>15773-291.5</f>
        <v>15481.5</v>
      </c>
      <c r="H18" s="19">
        <v>15346</v>
      </c>
      <c r="I18" s="19">
        <v>15346</v>
      </c>
      <c r="J18" s="19">
        <v>15346</v>
      </c>
      <c r="K18" s="19">
        <v>15346</v>
      </c>
      <c r="L18" s="180"/>
      <c r="M18" s="180"/>
    </row>
    <row r="19" spans="1:13" ht="30.75" customHeight="1">
      <c r="A19" s="181"/>
      <c r="B19" s="123"/>
      <c r="C19" s="18" t="s">
        <v>44</v>
      </c>
      <c r="D19" s="18" t="s">
        <v>34</v>
      </c>
      <c r="E19" s="19">
        <v>0</v>
      </c>
      <c r="F19" s="19">
        <f t="shared" si="1"/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80"/>
      <c r="M19" s="180"/>
    </row>
    <row r="20" spans="1:13" ht="24.75" customHeight="1">
      <c r="A20" s="138" t="s">
        <v>20</v>
      </c>
      <c r="B20" s="121" t="s">
        <v>157</v>
      </c>
      <c r="C20" s="18" t="s">
        <v>44</v>
      </c>
      <c r="D20" s="33" t="s">
        <v>7</v>
      </c>
      <c r="E20" s="19">
        <f aca="true" t="shared" si="5" ref="E20:K20">E21</f>
        <v>11651.2</v>
      </c>
      <c r="F20" s="19">
        <f t="shared" si="5"/>
        <v>27657.17</v>
      </c>
      <c r="G20" s="19">
        <f t="shared" si="5"/>
        <v>3585.3500000000004</v>
      </c>
      <c r="H20" s="19">
        <f t="shared" si="5"/>
        <v>5441.82</v>
      </c>
      <c r="I20" s="19">
        <f t="shared" si="5"/>
        <v>6210</v>
      </c>
      <c r="J20" s="19">
        <f t="shared" si="5"/>
        <v>6210</v>
      </c>
      <c r="K20" s="19">
        <f t="shared" si="5"/>
        <v>6210</v>
      </c>
      <c r="L20" s="127" t="s">
        <v>62</v>
      </c>
      <c r="M20" s="127"/>
    </row>
    <row r="21" spans="1:13" ht="63" customHeight="1">
      <c r="A21" s="106"/>
      <c r="B21" s="165"/>
      <c r="C21" s="18" t="s">
        <v>44</v>
      </c>
      <c r="D21" s="18" t="s">
        <v>11</v>
      </c>
      <c r="E21" s="19">
        <v>11651.2</v>
      </c>
      <c r="F21" s="19">
        <f>G21+H21+I21+J21+K21</f>
        <v>27657.17</v>
      </c>
      <c r="G21" s="19">
        <f>11583-1800-2300-748.65-3149</f>
        <v>3585.3500000000004</v>
      </c>
      <c r="H21" s="19">
        <f>6210-768.18</f>
        <v>5441.82</v>
      </c>
      <c r="I21" s="19">
        <v>6210</v>
      </c>
      <c r="J21" s="19">
        <v>6210</v>
      </c>
      <c r="K21" s="19">
        <v>6210</v>
      </c>
      <c r="L21" s="71"/>
      <c r="M21" s="71"/>
    </row>
    <row r="22" spans="1:13" ht="22.5" customHeight="1">
      <c r="A22" s="138"/>
      <c r="B22" s="144" t="s">
        <v>54</v>
      </c>
      <c r="C22" s="18" t="s">
        <v>44</v>
      </c>
      <c r="D22" s="33" t="s">
        <v>7</v>
      </c>
      <c r="E22" s="19">
        <f>E23+E24+E25+E26</f>
        <v>68399.2</v>
      </c>
      <c r="F22" s="19">
        <f aca="true" t="shared" si="6" ref="F22:K22">F23+F24+F25+F26</f>
        <v>309309.17</v>
      </c>
      <c r="G22" s="19">
        <f t="shared" si="6"/>
        <v>60485.35</v>
      </c>
      <c r="H22" s="19">
        <f t="shared" si="6"/>
        <v>61629.82</v>
      </c>
      <c r="I22" s="19">
        <f t="shared" si="6"/>
        <v>62398</v>
      </c>
      <c r="J22" s="19">
        <f t="shared" si="6"/>
        <v>62398</v>
      </c>
      <c r="K22" s="19">
        <f t="shared" si="6"/>
        <v>62398</v>
      </c>
      <c r="L22" s="127"/>
      <c r="M22" s="127"/>
    </row>
    <row r="23" spans="1:13" ht="40.5" customHeight="1">
      <c r="A23" s="105"/>
      <c r="B23" s="145"/>
      <c r="C23" s="18" t="s">
        <v>44</v>
      </c>
      <c r="D23" s="18" t="s">
        <v>9</v>
      </c>
      <c r="E23" s="19">
        <f>E6</f>
        <v>0</v>
      </c>
      <c r="F23" s="19">
        <f aca="true" t="shared" si="7" ref="F23:F31">G23+H23+I23+J23+K23</f>
        <v>0</v>
      </c>
      <c r="G23" s="19">
        <f>G6</f>
        <v>0</v>
      </c>
      <c r="H23" s="19">
        <f>H6</f>
        <v>0</v>
      </c>
      <c r="I23" s="19">
        <f>I6</f>
        <v>0</v>
      </c>
      <c r="J23" s="19">
        <f>J6</f>
        <v>0</v>
      </c>
      <c r="K23" s="19">
        <f>K6</f>
        <v>0</v>
      </c>
      <c r="L23" s="70"/>
      <c r="M23" s="70"/>
    </row>
    <row r="24" spans="1:13" ht="49.5" customHeight="1">
      <c r="A24" s="105"/>
      <c r="B24" s="145"/>
      <c r="C24" s="18" t="s">
        <v>44</v>
      </c>
      <c r="D24" s="18" t="s">
        <v>10</v>
      </c>
      <c r="E24" s="19">
        <f>E7</f>
        <v>0</v>
      </c>
      <c r="F24" s="19">
        <f t="shared" si="7"/>
        <v>0</v>
      </c>
      <c r="G24" s="19">
        <f aca="true" t="shared" si="8" ref="G24:K26">G7</f>
        <v>0</v>
      </c>
      <c r="H24" s="19">
        <f t="shared" si="8"/>
        <v>0</v>
      </c>
      <c r="I24" s="19">
        <f t="shared" si="8"/>
        <v>0</v>
      </c>
      <c r="J24" s="19">
        <f t="shared" si="8"/>
        <v>0</v>
      </c>
      <c r="K24" s="19">
        <f t="shared" si="8"/>
        <v>0</v>
      </c>
      <c r="L24" s="70"/>
      <c r="M24" s="70"/>
    </row>
    <row r="25" spans="1:13" ht="60.75" customHeight="1">
      <c r="A25" s="105"/>
      <c r="B25" s="145"/>
      <c r="C25" s="18" t="s">
        <v>44</v>
      </c>
      <c r="D25" s="18" t="s">
        <v>11</v>
      </c>
      <c r="E25" s="19">
        <f>E8</f>
        <v>68399.2</v>
      </c>
      <c r="F25" s="19">
        <f t="shared" si="7"/>
        <v>309309.17</v>
      </c>
      <c r="G25" s="19">
        <f t="shared" si="8"/>
        <v>60485.35</v>
      </c>
      <c r="H25" s="19">
        <f t="shared" si="8"/>
        <v>61629.82</v>
      </c>
      <c r="I25" s="19">
        <f t="shared" si="8"/>
        <v>62398</v>
      </c>
      <c r="J25" s="19">
        <f t="shared" si="8"/>
        <v>62398</v>
      </c>
      <c r="K25" s="19">
        <f t="shared" si="8"/>
        <v>62398</v>
      </c>
      <c r="L25" s="70"/>
      <c r="M25" s="70"/>
    </row>
    <row r="26" spans="1:13" ht="30.75" customHeight="1">
      <c r="A26" s="106"/>
      <c r="B26" s="146"/>
      <c r="C26" s="18" t="s">
        <v>44</v>
      </c>
      <c r="D26" s="18" t="s">
        <v>34</v>
      </c>
      <c r="E26" s="19">
        <f>E9</f>
        <v>0</v>
      </c>
      <c r="F26" s="19">
        <f t="shared" si="7"/>
        <v>0</v>
      </c>
      <c r="G26" s="19">
        <f t="shared" si="8"/>
        <v>0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71"/>
      <c r="M26" s="71"/>
    </row>
    <row r="27" spans="1:13" ht="18" customHeight="1">
      <c r="A27" s="198"/>
      <c r="B27" s="144" t="s">
        <v>101</v>
      </c>
      <c r="C27" s="18" t="s">
        <v>44</v>
      </c>
      <c r="D27" s="18" t="s">
        <v>7</v>
      </c>
      <c r="E27" s="19">
        <f>E28+E29+E30+E31</f>
        <v>3978436.4000000004</v>
      </c>
      <c r="F27" s="53">
        <f t="shared" si="7"/>
        <v>21528839.14</v>
      </c>
      <c r="G27" s="53">
        <f>G28+G29+G30+G31</f>
        <v>4388532.76</v>
      </c>
      <c r="H27" s="19">
        <f>H28+H29+H30+H31</f>
        <v>4504055.07</v>
      </c>
      <c r="I27" s="19">
        <f>I28+I29+I30+I31</f>
        <v>4290965.4399999995</v>
      </c>
      <c r="J27" s="19">
        <f>J28+J29+J30+J31</f>
        <v>4174250.8200000003</v>
      </c>
      <c r="K27" s="19">
        <f>K28+K29+K30+K31</f>
        <v>4171035.05</v>
      </c>
      <c r="L27" s="180"/>
      <c r="M27" s="180"/>
    </row>
    <row r="28" spans="1:13" ht="38.25" customHeight="1">
      <c r="A28" s="198"/>
      <c r="B28" s="145"/>
      <c r="C28" s="18" t="s">
        <v>44</v>
      </c>
      <c r="D28" s="18" t="s">
        <v>9</v>
      </c>
      <c r="E28" s="19">
        <f>'Подпрограмма 1'!E88+'Подпрограмма 2'!E133+'Подпрограмма 3'!E64+'Подпрограмма 4'!E16+'Полдпрограмма 5'!E23</f>
        <v>0</v>
      </c>
      <c r="F28" s="53">
        <f t="shared" si="7"/>
        <v>595723.887</v>
      </c>
      <c r="G28" s="53">
        <f>'Подпрограмма 1'!G88+'Подпрограмма 2'!G133+'Подпрограмма 3'!G64+'Подпрограмма 4'!G16+'Полдпрограмма 5'!G23</f>
        <v>53079.747</v>
      </c>
      <c r="H28" s="19">
        <f>'Подпрограмма 1'!H88+'Подпрограмма 2'!H133+'Подпрограмма 3'!H64+'Подпрограмма 4'!H16+'Полдпрограмма 5'!H23</f>
        <v>151705.31</v>
      </c>
      <c r="I28" s="19">
        <f>'Подпрограмма 1'!I88+'Подпрограмма 2'!I133+'Подпрограмма 3'!I64+'Подпрограмма 4'!I16+'Полдпрограмма 5'!I23</f>
        <v>158822.58</v>
      </c>
      <c r="J28" s="19">
        <f>'Подпрограмма 1'!J88+'Подпрограмма 2'!J133+'Подпрограмма 3'!J64+'Подпрограмма 4'!J16+'Полдпрограмма 5'!J23</f>
        <v>157746.24999999997</v>
      </c>
      <c r="K28" s="19">
        <f>'Подпрограмма 1'!K88+'Подпрограмма 2'!K133+'Подпрограмма 3'!K64+'Подпрограмма 4'!K16+'Полдпрограмма 5'!K23</f>
        <v>74370</v>
      </c>
      <c r="L28" s="180"/>
      <c r="M28" s="180"/>
    </row>
    <row r="29" spans="1:13" ht="48" customHeight="1">
      <c r="A29" s="198"/>
      <c r="B29" s="145"/>
      <c r="C29" s="18" t="s">
        <v>44</v>
      </c>
      <c r="D29" s="18" t="s">
        <v>10</v>
      </c>
      <c r="E29" s="19">
        <f>'Подпрограмма 1'!E89+'Подпрограмма 2'!E134+'Подпрограмма 3'!E65+'Подпрограмма 4'!E17+'Полдпрограмма 5'!E24</f>
        <v>2677294</v>
      </c>
      <c r="F29" s="53">
        <f t="shared" si="7"/>
        <v>14896869.313000001</v>
      </c>
      <c r="G29" s="53">
        <f>'Подпрограмма 1'!G89+'Подпрограмма 2'!G134+'Подпрограмма 3'!G65+'Подпрограмма 4'!G17+'Полдпрограмма 5'!G24</f>
        <v>2993221.753</v>
      </c>
      <c r="H29" s="19">
        <f>'Подпрограмма 1'!H89+'Подпрограмма 2'!H134+'Подпрограмма 3'!H65+'Подпрограмма 4'!H17+'Полдпрограмма 5'!H24</f>
        <v>3114567.1900000004</v>
      </c>
      <c r="I29" s="19">
        <f>'Подпрограмма 1'!I89+'Подпрограмма 2'!I134+'Подпрограмма 3'!I65+'Подпрограмма 4'!I17+'Полдпрограмма 5'!I24</f>
        <v>2956113.96</v>
      </c>
      <c r="J29" s="19">
        <f>'Подпрограмма 1'!J89+'Подпрограмма 2'!J134+'Подпрограмма 3'!J65+'Подпрограмма 4'!J17+'Полдпрограмма 5'!J24</f>
        <v>2878909.41</v>
      </c>
      <c r="K29" s="19">
        <f>'Подпрограмма 1'!K89+'Подпрограмма 2'!K134+'Подпрограмма 3'!K65+'Подпрограмма 4'!K17+'Полдпрограмма 5'!K24</f>
        <v>2954057</v>
      </c>
      <c r="L29" s="180"/>
      <c r="M29" s="180"/>
    </row>
    <row r="30" spans="1:13" ht="60" customHeight="1">
      <c r="A30" s="198"/>
      <c r="B30" s="145"/>
      <c r="C30" s="18" t="s">
        <v>44</v>
      </c>
      <c r="D30" s="18" t="s">
        <v>11</v>
      </c>
      <c r="E30" s="19">
        <f>'Подпрограмма 1'!E90+'Подпрограмма 2'!E135+'Подпрограмма 3'!E66+'Подпрограмма 4'!E18+'Полдпрограмма 5'!E25</f>
        <v>1121316.7</v>
      </c>
      <c r="F30" s="19">
        <f t="shared" si="7"/>
        <v>4923937.94</v>
      </c>
      <c r="G30" s="19">
        <f>'Подпрограмма 1'!G90+'Подпрограмма 2'!G135+'Подпрограмма 3'!G66+'Подпрограмма 4'!G18+'Полдпрограмма 5'!G25</f>
        <v>1123523.26</v>
      </c>
      <c r="H30" s="19">
        <f>'Подпрограмма 1'!H90+'Подпрограмма 2'!H135+'Подпрограмма 3'!H66+'Подпрограмма 4'!H18+'Полдпрограмма 5'!H25</f>
        <v>1014382.57</v>
      </c>
      <c r="I30" s="19">
        <f>'Подпрограмма 1'!I90+'Подпрограмма 2'!I135+'Подпрограмма 3'!I66+'Подпрограмма 4'!I18+'Полдпрограмма 5'!I25</f>
        <v>952628.9</v>
      </c>
      <c r="J30" s="19">
        <f>'Подпрограмма 1'!J90+'Подпрограмма 2'!J135+'Подпрограмма 3'!J66+'Подпрограмма 4'!J18+'Полдпрограмма 5'!J25</f>
        <v>914195.16</v>
      </c>
      <c r="K30" s="19">
        <f>'Подпрограмма 1'!K90+'Подпрограмма 2'!K135+'Подпрограмма 3'!K66+'Подпрограмма 4'!K18+'Полдпрограмма 5'!K25</f>
        <v>919208.05</v>
      </c>
      <c r="L30" s="180"/>
      <c r="M30" s="180"/>
    </row>
    <row r="31" spans="1:13" ht="30" customHeight="1">
      <c r="A31" s="198"/>
      <c r="B31" s="146"/>
      <c r="C31" s="18" t="s">
        <v>44</v>
      </c>
      <c r="D31" s="18" t="s">
        <v>34</v>
      </c>
      <c r="E31" s="19">
        <f>'Подпрограмма 1'!E91+'Подпрограмма 2'!E136+'Подпрограмма 3'!E67+'Подпрограмма 4'!E19+'Полдпрограмма 5'!E26</f>
        <v>179825.7</v>
      </c>
      <c r="F31" s="19">
        <f t="shared" si="7"/>
        <v>1112308</v>
      </c>
      <c r="G31" s="19">
        <f>'Подпрограмма 1'!G91+'Подпрограмма 2'!G136+'Подпрограмма 3'!G67+'Подпрограмма 4'!G19+'Полдпрограмма 5'!G26</f>
        <v>218708</v>
      </c>
      <c r="H31" s="19">
        <f>'Подпрограмма 1'!H91+'Подпрограмма 2'!H136+'Подпрограмма 3'!H67+'Подпрограмма 4'!H19+'Полдпрограмма 5'!H26</f>
        <v>223400</v>
      </c>
      <c r="I31" s="19">
        <f>'Подпрограмма 1'!I91+'Подпрограмма 2'!I136+'Подпрограмма 3'!I67+'Подпрограмма 4'!I19+'Полдпрограмма 5'!I26</f>
        <v>223400</v>
      </c>
      <c r="J31" s="19">
        <f>'Подпрограмма 1'!J91+'Подпрограмма 2'!J136+'Подпрограмма 3'!J67+'Подпрограмма 4'!J19+'Полдпрограмма 5'!J26</f>
        <v>223400</v>
      </c>
      <c r="K31" s="19">
        <f>'Подпрограмма 1'!K91+'Подпрограмма 2'!K136+'Подпрограмма 3'!K67+'Подпрограмма 4'!K19+'Полдпрограмма 5'!K26</f>
        <v>223400</v>
      </c>
      <c r="L31" s="180"/>
      <c r="M31" s="180"/>
    </row>
    <row r="32" spans="1:13" ht="30" customHeight="1">
      <c r="A32" s="47"/>
      <c r="B32" s="48"/>
      <c r="C32" s="49"/>
      <c r="D32" s="49"/>
      <c r="E32" s="50"/>
      <c r="F32" s="50"/>
      <c r="G32" s="50"/>
      <c r="H32" s="50"/>
      <c r="I32" s="50"/>
      <c r="J32" s="50"/>
      <c r="K32" s="50"/>
      <c r="L32" s="51"/>
      <c r="M32" s="51"/>
    </row>
    <row r="33" spans="1:13" ht="30" customHeight="1">
      <c r="A33" s="47"/>
      <c r="B33" s="48"/>
      <c r="C33" s="49"/>
      <c r="D33" s="49"/>
      <c r="E33" s="50"/>
      <c r="F33" s="50"/>
      <c r="G33" s="50"/>
      <c r="H33" s="50"/>
      <c r="I33" s="50"/>
      <c r="J33" s="50"/>
      <c r="K33" s="50"/>
      <c r="L33" s="51"/>
      <c r="M33" s="51"/>
    </row>
    <row r="34" spans="1:13" ht="30" customHeight="1">
      <c r="A34" s="47"/>
      <c r="B34" s="48"/>
      <c r="C34" s="49"/>
      <c r="D34" s="49"/>
      <c r="E34" s="50"/>
      <c r="F34" s="50"/>
      <c r="G34" s="50"/>
      <c r="H34" s="50"/>
      <c r="I34" s="50"/>
      <c r="J34" s="50"/>
      <c r="K34" s="50"/>
      <c r="L34" s="51"/>
      <c r="M34" s="51"/>
    </row>
    <row r="35" spans="1:13" ht="15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</sheetData>
  <sheetProtection/>
  <mergeCells count="34">
    <mergeCell ref="L20:L21"/>
    <mergeCell ref="M20:M21"/>
    <mergeCell ref="B20:B21"/>
    <mergeCell ref="B10:B14"/>
    <mergeCell ref="A22:A26"/>
    <mergeCell ref="L22:L26"/>
    <mergeCell ref="M22:M26"/>
    <mergeCell ref="B22:B26"/>
    <mergeCell ref="A27:A31"/>
    <mergeCell ref="B27:B31"/>
    <mergeCell ref="L27:L31"/>
    <mergeCell ref="M27:M31"/>
    <mergeCell ref="M10:M14"/>
    <mergeCell ref="A15:A19"/>
    <mergeCell ref="L15:L19"/>
    <mergeCell ref="M15:M19"/>
    <mergeCell ref="B15:B19"/>
    <mergeCell ref="A20:A21"/>
    <mergeCell ref="E1:E2"/>
    <mergeCell ref="F1:F2"/>
    <mergeCell ref="A10:A14"/>
    <mergeCell ref="L10:L14"/>
    <mergeCell ref="G1:K1"/>
    <mergeCell ref="L1:L2"/>
    <mergeCell ref="M1:M2"/>
    <mergeCell ref="A4:M4"/>
    <mergeCell ref="A5:A9"/>
    <mergeCell ref="B5:B9"/>
    <mergeCell ref="L5:L9"/>
    <mergeCell ref="M5:M9"/>
    <mergeCell ref="A1:A2"/>
    <mergeCell ref="B1:B2"/>
    <mergeCell ref="C1:C2"/>
    <mergeCell ref="D1:D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I26" sqref="I26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1">
      <selection activeCell="G28" sqref="G28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15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</sheetData>
  <sheetProtection/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JuliaBelyaeva</dc:creator>
  <cp:keywords/>
  <dc:description/>
  <cp:lastModifiedBy>Борзова А.В.</cp:lastModifiedBy>
  <cp:lastPrinted>2021-06-10T07:14:02Z</cp:lastPrinted>
  <dcterms:created xsi:type="dcterms:W3CDTF">2015-05-20T06:45:05Z</dcterms:created>
  <dcterms:modified xsi:type="dcterms:W3CDTF">2021-06-16T14:05:21Z</dcterms:modified>
  <cp:category/>
  <cp:version/>
  <cp:contentType/>
  <cp:contentStatus/>
</cp:coreProperties>
</file>